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hidePivotFieldList="1"/>
  <bookViews>
    <workbookView xWindow="0" yWindow="0" windowWidth="28800" windowHeight="11895"/>
  </bookViews>
  <sheets>
    <sheet name="Cover Page" sheetId="16" r:id="rId1"/>
    <sheet name="Analysis" sheetId="3" r:id="rId2"/>
    <sheet name="Mitigations" sheetId="15" r:id="rId3"/>
    <sheet name="Analyis_Old" sheetId="9" state="hidden" r:id="rId4"/>
    <sheet name="Reference" sheetId="7" r:id="rId5"/>
    <sheet name="Methodology" sheetId="10" r:id="rId6"/>
    <sheet name="Factor A Estimates" sheetId="11" r:id="rId7"/>
    <sheet name="Factor B Estimates" sheetId="12" r:id="rId8"/>
    <sheet name="Factor C Estimates" sheetId="13" r:id="rId9"/>
  </sheets>
  <externalReferences>
    <externalReference r:id="rId10"/>
    <externalReference r:id="rId11"/>
  </externalReferences>
  <definedNames>
    <definedName name="_xlnm._FilterDatabase" localSheetId="3" hidden="1">Analyis_Old!$A$12:$H$16</definedName>
    <definedName name="contIE">Methodology!$F$12</definedName>
    <definedName name="contOL">Methodology!$F$21</definedName>
    <definedName name="contSF">Methodology!$F$4</definedName>
    <definedName name="ExpResult" localSheetId="0">#REF!</definedName>
    <definedName name="ExpResult">#REF!</definedName>
    <definedName name="FactorAEstimate">'Factor A Estimates'!$B$5</definedName>
    <definedName name="InputVal" localSheetId="0">#REF!</definedName>
    <definedName name="InputVal">#REF!</definedName>
    <definedName name="InputValDivMaxTimes10" localSheetId="0">#REF!</definedName>
    <definedName name="InputValDivMaxTimes10">#REF!</definedName>
    <definedName name="_xlnm.Print_Area" localSheetId="0">'Cover Page'!$A$1:$A$27</definedName>
    <definedName name="Rho" localSheetId="0">#REF!</definedName>
    <definedName name="Rho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3" l="1"/>
  <c r="D11" i="10" l="1"/>
  <c r="B24" i="10" l="1"/>
  <c r="B25" i="10" l="1"/>
  <c r="B22" i="10"/>
  <c r="B20" i="10" l="1"/>
  <c r="B21" i="10" s="1"/>
  <c r="A21" i="10"/>
  <c r="AD17" i="3" l="1"/>
  <c r="Y17" i="3"/>
  <c r="X17" i="3"/>
  <c r="W17" i="3"/>
  <c r="V17" i="3"/>
  <c r="B11" i="10"/>
  <c r="B12" i="10" s="1"/>
  <c r="A12" i="10"/>
  <c r="B13" i="10" l="1"/>
  <c r="AD16" i="3"/>
  <c r="AD15" i="3"/>
  <c r="F10" i="13" l="1"/>
  <c r="N8" i="13"/>
  <c r="B6" i="13"/>
  <c r="B8" i="13" s="1"/>
  <c r="F13" i="12"/>
  <c r="F12" i="12"/>
  <c r="F11" i="12"/>
  <c r="F10" i="12"/>
  <c r="F9" i="12"/>
  <c r="F8" i="12"/>
  <c r="F7" i="12"/>
  <c r="F6" i="12"/>
  <c r="F5" i="12"/>
  <c r="F4" i="12"/>
  <c r="B5" i="11"/>
  <c r="B2" i="10" s="1"/>
  <c r="A4" i="10"/>
  <c r="B11" i="12" l="1"/>
  <c r="B15" i="12" s="1"/>
  <c r="D3" i="10" s="1"/>
  <c r="B1" i="13"/>
  <c r="D4" i="10" s="1"/>
  <c r="V10" i="13"/>
  <c r="B3" i="10" l="1"/>
  <c r="B4" i="10" s="1"/>
  <c r="B5" i="10" l="1"/>
  <c r="B28" i="10"/>
  <c r="F21" i="10"/>
  <c r="P16" i="3" s="1"/>
  <c r="Q16" i="3" s="1"/>
  <c r="F4" i="10"/>
  <c r="P14" i="3" s="1"/>
  <c r="C8" i="10"/>
  <c r="C32" i="3"/>
  <c r="C31" i="3"/>
  <c r="D31" i="3"/>
  <c r="D32" i="3"/>
  <c r="G3" i="9"/>
  <c r="G4" i="9"/>
  <c r="G2" i="9"/>
  <c r="P15" i="3" l="1"/>
  <c r="B5" i="3"/>
  <c r="F12" i="10"/>
  <c r="B14" i="9"/>
  <c r="B15" i="9"/>
  <c r="B16" i="9"/>
  <c r="P17" i="3" l="1"/>
  <c r="Q17" i="3" s="1"/>
  <c r="Z17" i="3" s="1"/>
  <c r="AA17" i="3" s="1"/>
  <c r="AC17" i="3" s="1"/>
  <c r="AE17" i="3" s="1"/>
  <c r="M4" i="9"/>
  <c r="M5" i="9"/>
  <c r="M3" i="9"/>
  <c r="H12" i="9" l="1"/>
  <c r="I1" i="9"/>
  <c r="H2" i="9" l="1"/>
  <c r="E16" i="9"/>
  <c r="H13" i="9"/>
  <c r="E13" i="9"/>
  <c r="D13" i="9"/>
  <c r="C13" i="9"/>
  <c r="B13" i="9"/>
  <c r="A13" i="9"/>
  <c r="F12" i="9"/>
  <c r="E12" i="9"/>
  <c r="D12" i="9"/>
  <c r="C12" i="9"/>
  <c r="H4" i="9"/>
  <c r="H3" i="9"/>
  <c r="E15" i="9" l="1"/>
  <c r="E14" i="9"/>
  <c r="O3" i="9"/>
  <c r="O4" i="9" s="1"/>
  <c r="O5" i="9" s="1"/>
  <c r="D5" i="3"/>
  <c r="Q15" i="3" l="1"/>
  <c r="D9" i="3"/>
  <c r="U11" i="3" s="1"/>
  <c r="Y15" i="3" l="1"/>
  <c r="Y16" i="3"/>
  <c r="Y14" i="3"/>
  <c r="D7" i="3"/>
  <c r="S11" i="3" s="1"/>
  <c r="D8" i="3"/>
  <c r="T11" i="3" s="1"/>
  <c r="D6" i="3"/>
  <c r="R11" i="3" s="1"/>
  <c r="AD14" i="3"/>
  <c r="W16" i="3" l="1"/>
  <c r="W15" i="3"/>
  <c r="V15" i="3"/>
  <c r="V16" i="3"/>
  <c r="X16" i="3"/>
  <c r="X15" i="3"/>
  <c r="Z15" i="3"/>
  <c r="V14" i="3"/>
  <c r="W14" i="3"/>
  <c r="Q11" i="3"/>
  <c r="X14" i="3"/>
  <c r="E5" i="3"/>
  <c r="AA15" i="3" l="1"/>
  <c r="AC15" i="3" s="1"/>
  <c r="AE15" i="3" s="1"/>
  <c r="I9" i="9" s="1"/>
  <c r="F14" i="9" s="1"/>
  <c r="Z16" i="3"/>
  <c r="AA16" i="3" s="1"/>
  <c r="AC16" i="3" s="1"/>
  <c r="AE16" i="3" s="1"/>
  <c r="I12" i="7"/>
  <c r="I11" i="7"/>
  <c r="I29" i="7"/>
  <c r="I10" i="7"/>
  <c r="I18" i="7"/>
  <c r="I17" i="7"/>
  <c r="I16" i="7"/>
  <c r="I9" i="7"/>
  <c r="I19" i="7"/>
  <c r="I3" i="7"/>
  <c r="I15" i="7"/>
  <c r="I14" i="7"/>
  <c r="I8" i="7"/>
  <c r="I27" i="7"/>
  <c r="I26" i="7"/>
  <c r="I13" i="7"/>
  <c r="I7" i="7"/>
  <c r="I6" i="7"/>
  <c r="I5" i="7"/>
  <c r="P8" i="7"/>
  <c r="I25" i="7"/>
  <c r="P7" i="7"/>
  <c r="I4" i="7"/>
  <c r="P6" i="7"/>
  <c r="I2" i="7"/>
  <c r="P5" i="7"/>
  <c r="I24" i="7"/>
  <c r="P4" i="7"/>
  <c r="I23" i="7"/>
  <c r="P3" i="7"/>
  <c r="I22" i="7"/>
  <c r="P2" i="7"/>
  <c r="I21" i="7"/>
  <c r="G14" i="9" l="1"/>
  <c r="I20" i="7"/>
  <c r="I28" i="7"/>
  <c r="Q14" i="3" l="1"/>
  <c r="Z14" i="3" s="1"/>
  <c r="AA14" i="3" s="1"/>
  <c r="AC14" i="3" l="1"/>
  <c r="AE14" i="3" s="1"/>
  <c r="AL23" i="3" s="1"/>
  <c r="AL28" i="3" l="1"/>
  <c r="AL25" i="3"/>
  <c r="AL24" i="3"/>
  <c r="AL26" i="3"/>
  <c r="AL27" i="3"/>
  <c r="AF14" i="3"/>
  <c r="AF16" i="3"/>
  <c r="AF15" i="3"/>
  <c r="AF17" i="3"/>
  <c r="I4" i="9"/>
  <c r="J4" i="9" s="1"/>
  <c r="I3" i="9"/>
  <c r="J3" i="9" s="1"/>
  <c r="I2" i="9"/>
  <c r="F15" i="9" s="1"/>
  <c r="G15" i="9" s="1"/>
  <c r="F16" i="9"/>
  <c r="G16" i="9" s="1"/>
  <c r="AJ14" i="3" l="1"/>
  <c r="AM14" i="3" s="1"/>
  <c r="AJ17" i="3"/>
  <c r="AJ15" i="3"/>
  <c r="AJ16" i="3"/>
  <c r="AK14" i="3"/>
  <c r="AK15" i="3" s="1"/>
  <c r="AK16" i="3" s="1"/>
  <c r="AK17" i="3" s="1"/>
  <c r="AL14" i="3"/>
  <c r="AL15" i="3" s="1"/>
  <c r="AL16" i="3" s="1"/>
  <c r="AL17" i="3" s="1"/>
  <c r="J2" i="9"/>
  <c r="N3" i="9" s="1"/>
  <c r="N4" i="9" s="1"/>
  <c r="N5" i="9" s="1"/>
  <c r="AN14" i="3" l="1"/>
  <c r="AN16" i="3"/>
  <c r="AM16" i="3"/>
  <c r="AM15" i="3"/>
  <c r="AN15" i="3"/>
  <c r="AN17" i="3"/>
  <c r="AM17" i="3"/>
</calcChain>
</file>

<file path=xl/sharedStrings.xml><?xml version="1.0" encoding="utf-8"?>
<sst xmlns="http://schemas.openxmlformats.org/spreadsheetml/2006/main" count="634" uniqueCount="195">
  <si>
    <t>Financial</t>
  </si>
  <si>
    <t>Frequency</t>
  </si>
  <si>
    <t>Baseline Residual Risk</t>
  </si>
  <si>
    <t>Original Baseline</t>
  </si>
  <si>
    <t>Safety Consequence</t>
  </si>
  <si>
    <t>Reliability Consequence</t>
  </si>
  <si>
    <t>Compliance Consequence</t>
  </si>
  <si>
    <t>Financial Consequence</t>
  </si>
  <si>
    <t>(000s)</t>
  </si>
  <si>
    <t>Adjustment</t>
  </si>
  <si>
    <t>Enable</t>
  </si>
  <si>
    <t>Project ID</t>
  </si>
  <si>
    <t>Name</t>
  </si>
  <si>
    <t>Capital Cost (Life of Project)</t>
  </si>
  <si>
    <t>OM Cost (Annual)</t>
  </si>
  <si>
    <t>Annuity</t>
  </si>
  <si>
    <t>New/Existing</t>
  </si>
  <si>
    <t>Life of the Project</t>
  </si>
  <si>
    <t>Safety</t>
  </si>
  <si>
    <t>Reliability</t>
  </si>
  <si>
    <t>Compliance</t>
  </si>
  <si>
    <t>Existing</t>
  </si>
  <si>
    <t>Weights on Each Mitigation</t>
  </si>
  <si>
    <t>Annuity instead of Capital Cost</t>
  </si>
  <si>
    <t>Probability</t>
  </si>
  <si>
    <t>1 - Risk Starting Value Lookup Question</t>
  </si>
  <si>
    <t>AA1 Frequency</t>
  </si>
  <si>
    <t>AA2 Safety Consequence</t>
  </si>
  <si>
    <t>AA3 Reliability Consequence</t>
  </si>
  <si>
    <t>AA4 Compliance Consequence</t>
  </si>
  <si>
    <t>AA5 Financial Consequence</t>
  </si>
  <si>
    <t>AA6 Baseline Risk Score</t>
  </si>
  <si>
    <t>Calculated Baseline</t>
  </si>
  <si>
    <t>Consequence</t>
  </si>
  <si>
    <t>SCG - Catastrophic Damage involving Gas Infrastructure (Dig-Ins)</t>
  </si>
  <si>
    <t>SCG - Catastrophic Damage Involving Gas Transmission Pipeline Failure</t>
  </si>
  <si>
    <t>SCG - Catastrophic Damage involving Medium and Non-DOT Pipeline Failure</t>
  </si>
  <si>
    <t>Before</t>
  </si>
  <si>
    <t>SCG - Catastrophic Event related to Storage Well Integrity</t>
  </si>
  <si>
    <t>SCG - Cyber Security</t>
  </si>
  <si>
    <t>SCG - Employee, Contractor, Customer and Public  Safety</t>
  </si>
  <si>
    <t>SCG - Physical Security of Critical Infrastructure</t>
  </si>
  <si>
    <t>SCG - Records Management</t>
  </si>
  <si>
    <t>SCG - Workforce Planning</t>
  </si>
  <si>
    <t>Weights</t>
  </si>
  <si>
    <t>SCG - Workplace Violence</t>
  </si>
  <si>
    <t>SDGE - Aviation Incident</t>
  </si>
  <si>
    <t>SDGE - Catastrophic Damage involving Gas Infrastructure (Dig-Ins)</t>
  </si>
  <si>
    <t>SDGE - Catastrophic Damage Involving Gas Transmission Pipeline Failure</t>
  </si>
  <si>
    <t>Impact</t>
  </si>
  <si>
    <t>SDGE - Catastrophic Damage Involving Medium and non-DOT Pipeline Failure</t>
  </si>
  <si>
    <t>SDGE - Cyber Security</t>
  </si>
  <si>
    <t>Finance</t>
  </si>
  <si>
    <t>SDGE - Distributed Energy Resources (DERs) Safety and Operational Concerns</t>
  </si>
  <si>
    <t>SDGE - Electric Infrastructure Integrity</t>
  </si>
  <si>
    <t>SDGE - Employee, Contractor &amp; Public Safety</t>
  </si>
  <si>
    <t>SDGE - Fail to Black Start</t>
  </si>
  <si>
    <t>SDGE - Major Disturbance to Electrical Service (e.g. Blackout)</t>
  </si>
  <si>
    <t>SDGE - Public Safety Events - Electric</t>
  </si>
  <si>
    <t>SDGE - Records Management</t>
  </si>
  <si>
    <t>SDGE - Violation of Environmental Policies/Procedures</t>
  </si>
  <si>
    <t>SDGE - Wildfires caused by SDG&amp;E Equipment (including 3rd Party Pole Attachments)</t>
  </si>
  <si>
    <t>After</t>
  </si>
  <si>
    <t>SDGE - Workforce Planning</t>
  </si>
  <si>
    <t>SDGE - Workplace Violence</t>
  </si>
  <si>
    <t>Cost</t>
  </si>
  <si>
    <t>Ordered Cumulative Benefit</t>
  </si>
  <si>
    <t>Ordered Cumulative Cost</t>
  </si>
  <si>
    <t>Baseline</t>
  </si>
  <si>
    <t>New Frequency</t>
  </si>
  <si>
    <t>New Score</t>
  </si>
  <si>
    <t>New Consequence Scores, weighted</t>
  </si>
  <si>
    <t>Rank</t>
  </si>
  <si>
    <t>Mitigation Weight</t>
  </si>
  <si>
    <t>SDGE - Climate Change Adaptation</t>
  </si>
  <si>
    <t>SDGE - Unmanned Aircraft System (UAS) Incident</t>
  </si>
  <si>
    <t>2, 8</t>
  </si>
  <si>
    <t>P1</t>
  </si>
  <si>
    <t>New</t>
  </si>
  <si>
    <t>Ordered Mitigations</t>
  </si>
  <si>
    <t>Scores</t>
  </si>
  <si>
    <t>Score Category</t>
  </si>
  <si>
    <t>Risk</t>
  </si>
  <si>
    <t/>
  </si>
  <si>
    <t>Benefit/Cost Ratio</t>
  </si>
  <si>
    <t>Combined Programs</t>
  </si>
  <si>
    <t>Cost per Life of Project ($000)</t>
  </si>
  <si>
    <t>Derived Benefit Scores</t>
  </si>
  <si>
    <t>Order</t>
  </si>
  <si>
    <t>Plot Projects</t>
  </si>
  <si>
    <t>Benefits</t>
  </si>
  <si>
    <t>Costs</t>
  </si>
  <si>
    <t xml:space="preserve"> </t>
  </si>
  <si>
    <t>B1 Existing</t>
  </si>
  <si>
    <t>B1 Proposed</t>
  </si>
  <si>
    <t>Derived Benefit Score</t>
  </si>
  <si>
    <t>Description</t>
  </si>
  <si>
    <t>&gt;10 times per year</t>
  </si>
  <si>
    <t>1-10 times per year</t>
  </si>
  <si>
    <t>Once every 1-3 years</t>
  </si>
  <si>
    <t>Once every 3-10 years</t>
  </si>
  <si>
    <t>Once every 10-30 years</t>
  </si>
  <si>
    <t>Once every 30-100 years</t>
  </si>
  <si>
    <t>Once every 100+ years</t>
  </si>
  <si>
    <t>years</t>
  </si>
  <si>
    <t>Safety Placards</t>
  </si>
  <si>
    <t>Clear and concise safety placards posted with each installed DER</t>
  </si>
  <si>
    <t>First Responder Awareness</t>
  </si>
  <si>
    <t>Aggressive outreach program to educate first responders on DER types, characteristics, and potential hazards</t>
  </si>
  <si>
    <t>P2</t>
  </si>
  <si>
    <t>Virtual Application Process</t>
  </si>
  <si>
    <t>Virtual application process and approvals</t>
  </si>
  <si>
    <t>B3 (P)</t>
  </si>
  <si>
    <t>• Aggressive outreach program to educate first responders on DER types, characteristics, and potential hazards
• Virtual application process and approvals
• Safety Placards (No additional cost)</t>
  </si>
  <si>
    <t>Score has been adjusted to account for baseline first responder training and removal of operations risks</t>
  </si>
  <si>
    <t>(A)</t>
  </si>
  <si>
    <t>Estimates based on SDFD Call volume, extrapolate to full SDGE Territory</t>
  </si>
  <si>
    <t>(B)</t>
  </si>
  <si>
    <t>Multiply (A) by ratio of estimated premises with rogue DER to SDGE meter count</t>
  </si>
  <si>
    <t>Annual SDFD Fire Response</t>
  </si>
  <si>
    <t>San Diago Population</t>
  </si>
  <si>
    <t>SDGE People Served</t>
  </si>
  <si>
    <t>Estimated Fire Calls</t>
  </si>
  <si>
    <t>Weekly detection rate:</t>
  </si>
  <si>
    <t>Fraction</t>
  </si>
  <si>
    <t>Resolution (Weeks)</t>
  </si>
  <si>
    <t>Week</t>
  </si>
  <si>
    <t>Touch 1 - Robocall</t>
  </si>
  <si>
    <t>Touch 2 - Hard Letter</t>
  </si>
  <si>
    <t>Touch 3 - Certified Letter</t>
  </si>
  <si>
    <t>Touch 4 - Utility Visit</t>
  </si>
  <si>
    <t>Touch 5 - Disconnect</t>
  </si>
  <si>
    <t>Total</t>
  </si>
  <si>
    <t>SDGD Meters:</t>
  </si>
  <si>
    <t>B Factor:</t>
  </si>
  <si>
    <t>Estimate:</t>
  </si>
  <si>
    <t>Probabilty that a firefighter will receive and injury when encountering a rogue DER device</t>
  </si>
  <si>
    <t>US Firefighter annual electrical injuries (NFPA)</t>
  </si>
  <si>
    <t>US annual structure fires (NFPA)</t>
  </si>
  <si>
    <t>Probability of structure fires causing electrical injuries</t>
  </si>
  <si>
    <t>Multiplier for electrical injury due to unreported DER device</t>
  </si>
  <si>
    <t>Probability of a firefighter receiving and electrical injury, Assuming unreported DER device raises the probablity by:</t>
  </si>
  <si>
    <t>times nominal</t>
  </si>
  <si>
    <t xml:space="preserve">Even if a firefighter was </t>
  </si>
  <si>
    <t>times more likely to experience an electrical injury when encountering a DER device than under normal circumstances, that likelihood would still only be:</t>
  </si>
  <si>
    <t>B1</t>
  </si>
  <si>
    <t>Combined Likelihood</t>
  </si>
  <si>
    <t>Structure Fire Contribution</t>
  </si>
  <si>
    <t>Island Event Contribution</t>
  </si>
  <si>
    <t>Inspect 20% of DER installations annually to identify potential Islanding issues.</t>
  </si>
  <si>
    <t>Inspect DER installations for islanding issues</t>
  </si>
  <si>
    <t>B2</t>
  </si>
  <si>
    <t>Estimates based on OMS Data</t>
  </si>
  <si>
    <t>Multiply (A) by average customers per outage, penetration rate of DER, and likelihood that an uninspected DER installation will backfeed.</t>
  </si>
  <si>
    <t>Multiply (B) by likelihood that an injury will be caused to first responders operating without knowledge of rogue DER</t>
  </si>
  <si>
    <t>Multiply (B) by likelihood that an injury will be caused to restoration workforce operating unknowingly on energized conductors</t>
  </si>
  <si>
    <t>Fire Injury - placards and general awareness</t>
  </si>
  <si>
    <t>Utility Injury - Islanding</t>
  </si>
  <si>
    <t>GP Injury - Overload circuits with DER-source energy</t>
  </si>
  <si>
    <t>Overload contribution</t>
  </si>
  <si>
    <t>Unmitigated</t>
  </si>
  <si>
    <t>Inspections, locating rogue meters through backflow detection and resolving within 4-8 weeks</t>
  </si>
  <si>
    <t>Enhanced First Responder Training</t>
  </si>
  <si>
    <t>Placard compliance enforcement</t>
  </si>
  <si>
    <t>Interconnection studies and modeling</t>
  </si>
  <si>
    <t>Multiply (A) by assumed percentage of circuits which could island during an outage because of islanding</t>
  </si>
  <si>
    <t>B3</t>
  </si>
  <si>
    <t>B1-B2</t>
  </si>
  <si>
    <t>Performing voltage/power quality studies of large DER interconnectors (&gt;=1MW) to identify potential negative impacts and mitigation</t>
  </si>
  <si>
    <t>Implement improved modeling tools that incorporate PV generation into forecasts for distribution planning and operations power flow models</t>
  </si>
  <si>
    <t>Aggressive outreach program to educate first responders on DER types, characteristics, and potential
hazards</t>
  </si>
  <si>
    <t>Anti-islanding testing program</t>
  </si>
  <si>
    <t>contSF</t>
  </si>
  <si>
    <t>contIE</t>
  </si>
  <si>
    <t>contOL</t>
  </si>
  <si>
    <t>Current programs hold estimated rogue installations with improper placards to a residual level of 440 locations at any given time.  Abandoning the program would allow rogue installations to accumulate at 100 per week, an approximately 850% increase, applied to the estimated 0.0036 events per year.</t>
  </si>
  <si>
    <t>Estimate: studies and modeling hold SDGE to a rate of 0.1% of circuits (e.g. almost non-existant) where a locked out circuit would have sufficient DER-source energy to remain energized as an island, and without the studies and modeling this rate would rise to 50%, creating a potential hazard in each of the 260 lockouts per year.  The baseline risk associated with the 0.1% rate is 0.00003 injuries per year (owing to the proper use of PPE and safe work procedures).</t>
  </si>
  <si>
    <t>Estimate: SDGE experiences ~1,900 outages per year with an average of 500 customers per outage.  DER penetration rates yields 36 DER installations per typical outage, of which an assumed 0.1% would fail to prevent islanding.  Owing to adherence to PPE and work protection procedures, this is expected to result in 0.0068 injuries per year.  Inspecting 20% per year would address.</t>
  </si>
  <si>
    <t>Reduction due to Training:</t>
  </si>
  <si>
    <t>Estimate: extended training will reduce injuries due to improper placards at rogue installations by 40%.  Applies to estimated prevalence of 0.0036 events per year.</t>
  </si>
  <si>
    <t>Controls</t>
  </si>
  <si>
    <t>Adjusted Baseline</t>
  </si>
  <si>
    <t>Adjustment Factor</t>
  </si>
  <si>
    <t>Capital Cost (2017-2019)</t>
  </si>
  <si>
    <t>OM Cost (2017-2019 average)</t>
  </si>
  <si>
    <t>Rationale</t>
  </si>
  <si>
    <t>Frequency %</t>
  </si>
  <si>
    <t>New Score (for life of project)</t>
  </si>
  <si>
    <t>RSE</t>
  </si>
  <si>
    <t>2016 Risk Assessment Mitigation Phase</t>
  </si>
  <si>
    <t>Investigation 16-10-015</t>
  </si>
  <si>
    <t>Risk Spend Efficiency Workpapers to</t>
  </si>
  <si>
    <t>January 2017</t>
  </si>
  <si>
    <t>Distributed Energy Resources - Safety and Operational Concerns</t>
  </si>
  <si>
    <t>(Chapter SDG&amp;E-4-WP-RSE)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</si>
</sst>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-* #,##0_-;\-* #,##0_-;_-* &quot;-&quot;??_-;_-@_-"/>
    <numFmt numFmtId="168" formatCode="_-&quot;$&quot;* #,##0.00_-;\-&quot;$&quot;* #,##0.00_-;_-&quot;$&quot;* &quot;-&quot;??_-;_-@_-"/>
    <numFmt numFmtId="169" formatCode="0.0%"/>
    <numFmt numFmtId="170" formatCode="0.00000"/>
    <numFmt numFmtId="171" formatCode="&quot;$&quot;#,##0.00"/>
    <numFmt numFmtId="172" formatCode="_(&quot;$&quot;* #,##0.0_);_(&quot;$&quot;* \(#,##0.0\);_(&quot;$&quot;* &quot;-&quot;??_);_(@_)"/>
    <numFmt numFmtId="173" formatCode="_(* #,##0.000_);_(* \(#,##0.000\);_(* &quot;-&quot;??_);_(@_)"/>
    <numFmt numFmtId="174" formatCode="0.0000%"/>
    <numFmt numFmtId="175" formatCode="0.000%"/>
    <numFmt numFmtId="176" formatCode="_(* #,##0.0000000_);_(* \(#,##0.0000000\);_(* &quot;-&quot;??_);_(@_)"/>
    <numFmt numFmtId="177" formatCode="_(* #,##0.0000_);_(* \(#,##0.0000\);_(* &quot;-&quot;??_);_(@_)"/>
    <numFmt numFmtId="178" formatCode="_(* #,##0.00000_);_(* \(#,##0.00000\);_(* &quot;-&quot;??_);_(@_)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12"/>
      <color theme="0"/>
      <name val="Arial"/>
      <family val="2"/>
    </font>
    <font>
      <b/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</font>
    <font>
      <sz val="11"/>
      <color rgb="FF006100"/>
      <name val="Calibri"/>
      <family val="2"/>
      <scheme val="minor"/>
    </font>
    <font>
      <b/>
      <sz val="28"/>
      <color rgb="FFFF0000"/>
      <name val="Times New Roman"/>
      <family val="1"/>
    </font>
    <font>
      <b/>
      <sz val="28"/>
      <name val="Times New Roman"/>
      <family val="1"/>
    </font>
    <font>
      <b/>
      <sz val="28"/>
      <color theme="1"/>
      <name val="Times New Roman"/>
      <family val="1"/>
    </font>
    <font>
      <sz val="11"/>
      <color rgb="FF5A5A5A"/>
      <name val="Times New Roman"/>
      <family val="1"/>
    </font>
    <font>
      <sz val="14"/>
      <color rgb="FF5A5A5A"/>
      <name val="Times New Roman"/>
      <family val="1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5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2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5" fillId="11" borderId="0" applyNumberFormat="0" applyBorder="0" applyAlignment="0" applyProtection="0"/>
    <xf numFmtId="0" fontId="5" fillId="19" borderId="0" applyNumberFormat="0" applyBorder="0" applyAlignment="0" applyProtection="0"/>
    <xf numFmtId="0" fontId="23" fillId="12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4" fillId="23" borderId="0" applyNumberFormat="0" applyBorder="0" applyAlignment="0" applyProtection="0"/>
    <xf numFmtId="0" fontId="25" fillId="27" borderId="13" applyNumberFormat="0" applyAlignment="0" applyProtection="0"/>
    <xf numFmtId="0" fontId="26" fillId="20" borderId="14" applyNumberFormat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30" borderId="0" applyNumberFormat="0" applyBorder="0" applyAlignment="0" applyProtection="0"/>
    <xf numFmtId="0" fontId="5" fillId="16" borderId="0" applyNumberFormat="0" applyBorder="0" applyAlignment="0" applyProtection="0"/>
    <xf numFmtId="0" fontId="17" fillId="5" borderId="0" applyNumberFormat="0" applyBorder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13" applyNumberFormat="0" applyAlignment="0" applyProtection="0"/>
    <xf numFmtId="0" fontId="32" fillId="0" borderId="18" applyNumberFormat="0" applyFill="0" applyAlignment="0" applyProtection="0"/>
    <xf numFmtId="0" fontId="32" fillId="24" borderId="0" applyNumberFormat="0" applyBorder="0" applyAlignment="0" applyProtection="0"/>
    <xf numFmtId="0" fontId="33" fillId="31" borderId="0"/>
    <xf numFmtId="0" fontId="34" fillId="0" borderId="0"/>
    <xf numFmtId="0" fontId="7" fillId="0" borderId="0"/>
    <xf numFmtId="0" fontId="5" fillId="0" borderId="0"/>
    <xf numFmtId="0" fontId="35" fillId="0" borderId="0"/>
    <xf numFmtId="0" fontId="33" fillId="31" borderId="0"/>
    <xf numFmtId="0" fontId="35" fillId="0" borderId="0"/>
    <xf numFmtId="0" fontId="7" fillId="0" borderId="0"/>
    <xf numFmtId="0" fontId="36" fillId="0" borderId="0"/>
    <xf numFmtId="0" fontId="7" fillId="0" borderId="0"/>
    <xf numFmtId="0" fontId="33" fillId="31" borderId="0"/>
    <xf numFmtId="0" fontId="33" fillId="31" borderId="0"/>
    <xf numFmtId="0" fontId="7" fillId="0" borderId="0"/>
    <xf numFmtId="0" fontId="33" fillId="31" borderId="0"/>
    <xf numFmtId="0" fontId="33" fillId="31" borderId="0"/>
    <xf numFmtId="0" fontId="33" fillId="31" borderId="0"/>
    <xf numFmtId="0" fontId="33" fillId="31" borderId="0"/>
    <xf numFmtId="0" fontId="33" fillId="23" borderId="13" applyNumberFormat="0" applyFont="0" applyAlignment="0" applyProtection="0"/>
    <xf numFmtId="0" fontId="1" fillId="6" borderId="12" applyNumberFormat="0" applyFont="0" applyAlignment="0" applyProtection="0"/>
    <xf numFmtId="0" fontId="37" fillId="27" borderId="19" applyNumberFormat="0" applyAlignment="0" applyProtection="0"/>
    <xf numFmtId="4" fontId="33" fillId="32" borderId="13" applyNumberFormat="0" applyProtection="0">
      <alignment vertical="center"/>
    </xf>
    <xf numFmtId="4" fontId="33" fillId="32" borderId="13" applyNumberFormat="0" applyProtection="0">
      <alignment vertical="center"/>
    </xf>
    <xf numFmtId="4" fontId="38" fillId="33" borderId="13" applyNumberFormat="0" applyProtection="0">
      <alignment vertical="center"/>
    </xf>
    <xf numFmtId="4" fontId="33" fillId="33" borderId="13" applyNumberFormat="0" applyProtection="0">
      <alignment horizontal="left" vertical="center" indent="1"/>
    </xf>
    <xf numFmtId="4" fontId="33" fillId="33" borderId="13" applyNumberFormat="0" applyProtection="0">
      <alignment horizontal="left" vertical="center" indent="1"/>
    </xf>
    <xf numFmtId="0" fontId="39" fillId="32" borderId="20" applyNumberFormat="0" applyProtection="0">
      <alignment horizontal="left" vertical="top" indent="1"/>
    </xf>
    <xf numFmtId="4" fontId="33" fillId="34" borderId="13" applyNumberFormat="0" applyProtection="0">
      <alignment horizontal="left" vertical="center" indent="1"/>
    </xf>
    <xf numFmtId="4" fontId="33" fillId="34" borderId="13" applyNumberFormat="0" applyProtection="0">
      <alignment horizontal="left" vertical="center" indent="1"/>
    </xf>
    <xf numFmtId="4" fontId="33" fillId="35" borderId="13" applyNumberFormat="0" applyProtection="0">
      <alignment horizontal="right" vertical="center"/>
    </xf>
    <xf numFmtId="4" fontId="33" fillId="35" borderId="13" applyNumberFormat="0" applyProtection="0">
      <alignment horizontal="right" vertical="center"/>
    </xf>
    <xf numFmtId="4" fontId="33" fillId="36" borderId="13" applyNumberFormat="0" applyProtection="0">
      <alignment horizontal="right" vertical="center"/>
    </xf>
    <xf numFmtId="4" fontId="33" fillId="36" borderId="13" applyNumberFormat="0" applyProtection="0">
      <alignment horizontal="right" vertical="center"/>
    </xf>
    <xf numFmtId="4" fontId="33" fillId="37" borderId="21" applyNumberFormat="0" applyProtection="0">
      <alignment horizontal="right" vertical="center"/>
    </xf>
    <xf numFmtId="4" fontId="33" fillId="37" borderId="21" applyNumberFormat="0" applyProtection="0">
      <alignment horizontal="right" vertical="center"/>
    </xf>
    <xf numFmtId="4" fontId="33" fillId="38" borderId="13" applyNumberFormat="0" applyProtection="0">
      <alignment horizontal="right" vertical="center"/>
    </xf>
    <xf numFmtId="4" fontId="33" fillId="38" borderId="13" applyNumberFormat="0" applyProtection="0">
      <alignment horizontal="right" vertical="center"/>
    </xf>
    <xf numFmtId="4" fontId="33" fillId="39" borderId="13" applyNumberFormat="0" applyProtection="0">
      <alignment horizontal="right" vertical="center"/>
    </xf>
    <xf numFmtId="4" fontId="33" fillId="39" borderId="13" applyNumberFormat="0" applyProtection="0">
      <alignment horizontal="right" vertical="center"/>
    </xf>
    <xf numFmtId="4" fontId="33" fillId="40" borderId="13" applyNumberFormat="0" applyProtection="0">
      <alignment horizontal="right" vertical="center"/>
    </xf>
    <xf numFmtId="4" fontId="33" fillId="40" borderId="13" applyNumberFormat="0" applyProtection="0">
      <alignment horizontal="right" vertical="center"/>
    </xf>
    <xf numFmtId="4" fontId="33" fillId="41" borderId="13" applyNumberFormat="0" applyProtection="0">
      <alignment horizontal="right" vertical="center"/>
    </xf>
    <xf numFmtId="4" fontId="33" fillId="41" borderId="13" applyNumberFormat="0" applyProtection="0">
      <alignment horizontal="right" vertical="center"/>
    </xf>
    <xf numFmtId="4" fontId="33" fillId="42" borderId="13" applyNumberFormat="0" applyProtection="0">
      <alignment horizontal="right" vertical="center"/>
    </xf>
    <xf numFmtId="4" fontId="33" fillId="42" borderId="13" applyNumberFormat="0" applyProtection="0">
      <alignment horizontal="right" vertical="center"/>
    </xf>
    <xf numFmtId="4" fontId="33" fillId="43" borderId="13" applyNumberFormat="0" applyProtection="0">
      <alignment horizontal="right" vertical="center"/>
    </xf>
    <xf numFmtId="4" fontId="33" fillId="43" borderId="13" applyNumberFormat="0" applyProtection="0">
      <alignment horizontal="right" vertical="center"/>
    </xf>
    <xf numFmtId="4" fontId="33" fillId="44" borderId="21" applyNumberFormat="0" applyProtection="0">
      <alignment horizontal="left" vertical="center" indent="1"/>
    </xf>
    <xf numFmtId="4" fontId="33" fillId="44" borderId="21" applyNumberFormat="0" applyProtection="0">
      <alignment horizontal="left" vertical="center" indent="1"/>
    </xf>
    <xf numFmtId="4" fontId="7" fillId="45" borderId="21" applyNumberFormat="0" applyProtection="0">
      <alignment horizontal="left" vertical="center" indent="1"/>
    </xf>
    <xf numFmtId="4" fontId="7" fillId="45" borderId="21" applyNumberFormat="0" applyProtection="0">
      <alignment horizontal="left" vertical="center" indent="1"/>
    </xf>
    <xf numFmtId="4" fontId="33" fillId="46" borderId="13" applyNumberFormat="0" applyProtection="0">
      <alignment horizontal="right" vertical="center"/>
    </xf>
    <xf numFmtId="4" fontId="33" fillId="46" borderId="13" applyNumberFormat="0" applyProtection="0">
      <alignment horizontal="right" vertical="center"/>
    </xf>
    <xf numFmtId="4" fontId="33" fillId="47" borderId="21" applyNumberFormat="0" applyProtection="0">
      <alignment horizontal="left" vertical="center" indent="1"/>
    </xf>
    <xf numFmtId="4" fontId="33" fillId="47" borderId="21" applyNumberFormat="0" applyProtection="0">
      <alignment horizontal="left" vertical="center" indent="1"/>
    </xf>
    <xf numFmtId="4" fontId="33" fillId="46" borderId="21" applyNumberFormat="0" applyProtection="0">
      <alignment horizontal="left" vertical="center" indent="1"/>
    </xf>
    <xf numFmtId="4" fontId="33" fillId="46" borderId="21" applyNumberFormat="0" applyProtection="0">
      <alignment horizontal="left" vertical="center" indent="1"/>
    </xf>
    <xf numFmtId="0" fontId="33" fillId="48" borderId="13" applyNumberFormat="0" applyProtection="0">
      <alignment horizontal="left" vertical="center" indent="1"/>
    </xf>
    <xf numFmtId="0" fontId="33" fillId="48" borderId="13" applyNumberFormat="0" applyProtection="0">
      <alignment horizontal="left" vertical="center" indent="1"/>
    </xf>
    <xf numFmtId="0" fontId="33" fillId="45" borderId="20" applyNumberFormat="0" applyProtection="0">
      <alignment horizontal="left" vertical="top" indent="1"/>
    </xf>
    <xf numFmtId="0" fontId="33" fillId="49" borderId="13" applyNumberFormat="0" applyProtection="0">
      <alignment horizontal="left" vertical="center" indent="1"/>
    </xf>
    <xf numFmtId="0" fontId="33" fillId="49" borderId="13" applyNumberFormat="0" applyProtection="0">
      <alignment horizontal="left" vertical="center" indent="1"/>
    </xf>
    <xf numFmtId="0" fontId="33" fillId="46" borderId="20" applyNumberFormat="0" applyProtection="0">
      <alignment horizontal="left" vertical="top" indent="1"/>
    </xf>
    <xf numFmtId="0" fontId="33" fillId="50" borderId="13" applyNumberFormat="0" applyProtection="0">
      <alignment horizontal="left" vertical="center" indent="1"/>
    </xf>
    <xf numFmtId="0" fontId="33" fillId="50" borderId="13" applyNumberFormat="0" applyProtection="0">
      <alignment horizontal="left" vertical="center" indent="1"/>
    </xf>
    <xf numFmtId="0" fontId="33" fillId="50" borderId="20" applyNumberFormat="0" applyProtection="0">
      <alignment horizontal="left" vertical="top" indent="1"/>
    </xf>
    <xf numFmtId="0" fontId="33" fillId="47" borderId="13" applyNumberFormat="0" applyProtection="0">
      <alignment horizontal="left" vertical="center" indent="1"/>
    </xf>
    <xf numFmtId="0" fontId="33" fillId="47" borderId="13" applyNumberFormat="0" applyProtection="0">
      <alignment horizontal="left" vertical="center" indent="1"/>
    </xf>
    <xf numFmtId="0" fontId="33" fillId="47" borderId="20" applyNumberFormat="0" applyProtection="0">
      <alignment horizontal="left" vertical="top" indent="1"/>
    </xf>
    <xf numFmtId="0" fontId="33" fillId="51" borderId="22" applyNumberFormat="0">
      <protection locked="0"/>
    </xf>
    <xf numFmtId="0" fontId="40" fillId="45" borderId="23" applyBorder="0"/>
    <xf numFmtId="4" fontId="41" fillId="52" borderId="20" applyNumberFormat="0" applyProtection="0">
      <alignment vertical="center"/>
    </xf>
    <xf numFmtId="4" fontId="38" fillId="53" borderId="1" applyNumberFormat="0" applyProtection="0">
      <alignment vertical="center"/>
    </xf>
    <xf numFmtId="4" fontId="41" fillId="48" borderId="20" applyNumberFormat="0" applyProtection="0">
      <alignment horizontal="left" vertical="center" indent="1"/>
    </xf>
    <xf numFmtId="0" fontId="41" fillId="52" borderId="20" applyNumberFormat="0" applyProtection="0">
      <alignment horizontal="left" vertical="top" indent="1"/>
    </xf>
    <xf numFmtId="4" fontId="33" fillId="0" borderId="13" applyNumberFormat="0" applyProtection="0">
      <alignment horizontal="right" vertical="center"/>
    </xf>
    <xf numFmtId="4" fontId="33" fillId="0" borderId="13" applyNumberFormat="0" applyProtection="0">
      <alignment horizontal="right" vertical="center"/>
    </xf>
    <xf numFmtId="4" fontId="38" fillId="54" borderId="13" applyNumberFormat="0" applyProtection="0">
      <alignment horizontal="right" vertical="center"/>
    </xf>
    <xf numFmtId="4" fontId="33" fillId="34" borderId="13" applyNumberFormat="0" applyProtection="0">
      <alignment horizontal="left" vertical="center" indent="1"/>
    </xf>
    <xf numFmtId="4" fontId="33" fillId="34" borderId="13" applyNumberFormat="0" applyProtection="0">
      <alignment horizontal="left" vertical="center" indent="1"/>
    </xf>
    <xf numFmtId="0" fontId="41" fillId="46" borderId="20" applyNumberFormat="0" applyProtection="0">
      <alignment horizontal="left" vertical="top" indent="1"/>
    </xf>
    <xf numFmtId="4" fontId="42" fillId="55" borderId="21" applyNumberFormat="0" applyProtection="0">
      <alignment horizontal="left" vertical="center" indent="1"/>
    </xf>
    <xf numFmtId="0" fontId="33" fillId="56" borderId="1"/>
    <xf numFmtId="0" fontId="33" fillId="56" borderId="1"/>
    <xf numFmtId="4" fontId="43" fillId="51" borderId="13" applyNumberFormat="0" applyProtection="0">
      <alignment horizontal="right" vertical="center"/>
    </xf>
    <xf numFmtId="0" fontId="44" fillId="0" borderId="0" applyNumberFormat="0" applyFill="0" applyBorder="0" applyAlignment="0" applyProtection="0"/>
    <xf numFmtId="0" fontId="1" fillId="57" borderId="11">
      <alignment horizontal="center" vertical="center" wrapText="1"/>
    </xf>
    <xf numFmtId="0" fontId="27" fillId="0" borderId="24" applyNumberFormat="0" applyFill="0" applyAlignment="0" applyProtection="0"/>
    <xf numFmtId="0" fontId="45" fillId="0" borderId="0" applyNumberFormat="0" applyFill="0" applyBorder="0" applyAlignment="0" applyProtection="0"/>
  </cellStyleXfs>
  <cellXfs count="122">
    <xf numFmtId="0" fontId="0" fillId="0" borderId="0" xfId="0"/>
    <xf numFmtId="43" fontId="0" fillId="0" borderId="0" xfId="0" applyNumberFormat="1"/>
    <xf numFmtId="0" fontId="0" fillId="0" borderId="1" xfId="0" applyFill="1" applyBorder="1"/>
    <xf numFmtId="0" fontId="0" fillId="0" borderId="0" xfId="0" applyAlignment="1">
      <alignment wrapText="1"/>
    </xf>
    <xf numFmtId="9" fontId="4" fillId="0" borderId="1" xfId="2" applyFont="1" applyFill="1" applyBorder="1" applyAlignment="1">
      <alignment wrapText="1"/>
    </xf>
    <xf numFmtId="0" fontId="0" fillId="0" borderId="0" xfId="0" applyFill="1"/>
    <xf numFmtId="0" fontId="0" fillId="0" borderId="0" xfId="0" quotePrefix="1" applyNumberFormat="1" applyFill="1"/>
    <xf numFmtId="170" fontId="0" fillId="0" borderId="0" xfId="0" quotePrefix="1" applyNumberFormat="1" applyFill="1"/>
    <xf numFmtId="43" fontId="0" fillId="0" borderId="0" xfId="4" quotePrefix="1" applyFont="1" applyFill="1"/>
    <xf numFmtId="43" fontId="0" fillId="0" borderId="0" xfId="4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/>
    <xf numFmtId="0" fontId="3" fillId="0" borderId="0" xfId="0" applyFont="1" applyFill="1"/>
    <xf numFmtId="0" fontId="11" fillId="0" borderId="0" xfId="0" applyFont="1" applyFill="1"/>
    <xf numFmtId="0" fontId="1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5" xfId="0" applyFont="1" applyFill="1" applyBorder="1" applyAlignment="1">
      <alignment wrapText="1"/>
    </xf>
    <xf numFmtId="43" fontId="3" fillId="0" borderId="1" xfId="3" applyFont="1" applyFill="1" applyBorder="1"/>
    <xf numFmtId="0" fontId="12" fillId="0" borderId="0" xfId="0" applyFont="1" applyAlignment="1">
      <alignment vertical="center"/>
    </xf>
    <xf numFmtId="165" fontId="12" fillId="2" borderId="0" xfId="3" applyNumberFormat="1" applyFont="1" applyFill="1" applyAlignment="1">
      <alignment vertical="center"/>
    </xf>
    <xf numFmtId="0" fontId="0" fillId="0" borderId="0" xfId="0" applyAlignment="1">
      <alignment vertical="top" wrapText="1"/>
    </xf>
    <xf numFmtId="173" fontId="12" fillId="3" borderId="0" xfId="3" applyNumberFormat="1" applyFont="1" applyFill="1" applyAlignment="1">
      <alignment vertical="center"/>
    </xf>
    <xf numFmtId="174" fontId="0" fillId="0" borderId="0" xfId="2" applyNumberFormat="1" applyFont="1" applyAlignment="1">
      <alignment horizontal="center" vertical="center"/>
    </xf>
    <xf numFmtId="175" fontId="0" fillId="0" borderId="0" xfId="0" applyNumberFormat="1" applyAlignment="1">
      <alignment horizontal="center" vertical="center"/>
    </xf>
    <xf numFmtId="176" fontId="0" fillId="0" borderId="0" xfId="0" applyNumberFormat="1"/>
    <xf numFmtId="165" fontId="0" fillId="0" borderId="0" xfId="3" applyNumberFormat="1" applyFont="1"/>
    <xf numFmtId="165" fontId="0" fillId="0" borderId="0" xfId="0" applyNumberFormat="1"/>
    <xf numFmtId="9" fontId="0" fillId="0" borderId="0" xfId="2" applyFont="1"/>
    <xf numFmtId="177" fontId="12" fillId="4" borderId="0" xfId="3" applyNumberFormat="1" applyFont="1" applyFill="1" applyAlignment="1">
      <alignment horizontal="left" vertical="center" indent="2"/>
    </xf>
    <xf numFmtId="177" fontId="0" fillId="0" borderId="0" xfId="0" applyNumberFormat="1"/>
    <xf numFmtId="43" fontId="12" fillId="3" borderId="0" xfId="3" applyFont="1" applyFill="1" applyAlignment="1">
      <alignment vertical="center"/>
    </xf>
    <xf numFmtId="165" fontId="12" fillId="3" borderId="0" xfId="3" applyNumberFormat="1" applyFont="1" applyFill="1" applyAlignment="1">
      <alignment vertical="center"/>
    </xf>
    <xf numFmtId="9" fontId="0" fillId="0" borderId="0" xfId="0" applyNumberFormat="1"/>
    <xf numFmtId="175" fontId="0" fillId="0" borderId="0" xfId="2" applyNumberFormat="1" applyFont="1" applyAlignment="1">
      <alignment horizontal="center" vertical="center"/>
    </xf>
    <xf numFmtId="0" fontId="0" fillId="0" borderId="11" xfId="0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178" fontId="12" fillId="4" borderId="0" xfId="3" applyNumberFormat="1" applyFont="1" applyFill="1" applyAlignment="1">
      <alignment horizontal="left" vertical="center" indent="2"/>
    </xf>
    <xf numFmtId="0" fontId="3" fillId="0" borderId="4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173" fontId="0" fillId="0" borderId="0" xfId="0" applyNumberFormat="1"/>
    <xf numFmtId="169" fontId="0" fillId="0" borderId="0" xfId="2" applyNumberFormat="1" applyFont="1" applyAlignment="1">
      <alignment horizontal="center" vertical="center"/>
    </xf>
    <xf numFmtId="0" fontId="2" fillId="0" borderId="0" xfId="0" quotePrefix="1" applyNumberFormat="1" applyFont="1" applyFill="1"/>
    <xf numFmtId="0" fontId="2" fillId="0" borderId="0" xfId="0" applyNumberFormat="1" applyFont="1" applyFill="1"/>
    <xf numFmtId="0" fontId="4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5" fontId="0" fillId="0" borderId="1" xfId="4" applyNumberFormat="1" applyFont="1" applyFill="1" applyBorder="1"/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75" fontId="0" fillId="0" borderId="0" xfId="0" applyNumberFormat="1" applyFill="1"/>
    <xf numFmtId="175" fontId="0" fillId="0" borderId="0" xfId="2" applyNumberFormat="1" applyFont="1" applyFill="1"/>
    <xf numFmtId="0" fontId="0" fillId="0" borderId="0" xfId="0" applyFill="1" applyAlignment="1">
      <alignment horizontal="center"/>
    </xf>
    <xf numFmtId="164" fontId="3" fillId="0" borderId="1" xfId="1" applyNumberFormat="1" applyFont="1" applyFill="1" applyBorder="1"/>
    <xf numFmtId="0" fontId="13" fillId="0" borderId="0" xfId="0" applyFont="1" applyFill="1"/>
    <xf numFmtId="0" fontId="3" fillId="0" borderId="0" xfId="0" applyFont="1" applyFill="1" applyAlignment="1">
      <alignment wrapText="1"/>
    </xf>
    <xf numFmtId="171" fontId="3" fillId="0" borderId="0" xfId="0" applyNumberFormat="1" applyFont="1" applyFill="1"/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166" fontId="3" fillId="0" borderId="1" xfId="0" applyNumberFormat="1" applyFont="1" applyFill="1" applyBorder="1"/>
    <xf numFmtId="0" fontId="3" fillId="0" borderId="1" xfId="0" applyNumberFormat="1" applyFont="1" applyFill="1" applyBorder="1"/>
    <xf numFmtId="43" fontId="3" fillId="0" borderId="0" xfId="0" applyNumberFormat="1" applyFont="1" applyFill="1"/>
    <xf numFmtId="0" fontId="3" fillId="0" borderId="0" xfId="0" applyFont="1" applyFill="1" applyBorder="1" applyAlignment="1">
      <alignment vertical="top"/>
    </xf>
    <xf numFmtId="166" fontId="3" fillId="0" borderId="0" xfId="0" applyNumberFormat="1" applyFont="1" applyFill="1"/>
    <xf numFmtId="0" fontId="3" fillId="0" borderId="0" xfId="0" quotePrefix="1" applyFont="1" applyFill="1"/>
    <xf numFmtId="0" fontId="11" fillId="0" borderId="0" xfId="0" applyFont="1" applyFill="1" applyAlignment="1">
      <alignment wrapText="1"/>
    </xf>
    <xf numFmtId="0" fontId="11" fillId="0" borderId="0" xfId="0" applyFont="1" applyFill="1" applyBorder="1" applyAlignment="1">
      <alignment horizontal="center"/>
    </xf>
    <xf numFmtId="0" fontId="16" fillId="0" borderId="0" xfId="0" applyFont="1" applyFill="1" applyAlignment="1">
      <alignment wrapText="1"/>
    </xf>
    <xf numFmtId="9" fontId="11" fillId="0" borderId="1" xfId="2" applyFont="1" applyFill="1" applyBorder="1" applyAlignment="1">
      <alignment horizontal="center"/>
    </xf>
    <xf numFmtId="171" fontId="11" fillId="0" borderId="0" xfId="0" applyNumberFormat="1" applyFont="1" applyFill="1"/>
    <xf numFmtId="171" fontId="11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2" fontId="3" fillId="0" borderId="1" xfId="0" applyNumberFormat="1" applyFont="1" applyFill="1" applyBorder="1"/>
    <xf numFmtId="170" fontId="3" fillId="0" borderId="1" xfId="0" applyNumberFormat="1" applyFont="1" applyFill="1" applyBorder="1"/>
    <xf numFmtId="165" fontId="3" fillId="0" borderId="1" xfId="3" applyNumberFormat="1" applyFont="1" applyFill="1" applyBorder="1"/>
    <xf numFmtId="165" fontId="3" fillId="0" borderId="1" xfId="0" applyNumberFormat="1" applyFont="1" applyFill="1" applyBorder="1"/>
    <xf numFmtId="169" fontId="3" fillId="0" borderId="1" xfId="2" applyNumberFormat="1" applyFont="1" applyFill="1" applyBorder="1"/>
    <xf numFmtId="167" fontId="3" fillId="0" borderId="1" xfId="0" applyNumberFormat="1" applyFont="1" applyFill="1" applyBorder="1"/>
    <xf numFmtId="171" fontId="3" fillId="0" borderId="1" xfId="0" applyNumberFormat="1" applyFont="1" applyFill="1" applyBorder="1"/>
    <xf numFmtId="0" fontId="3" fillId="0" borderId="1" xfId="3" applyNumberFormat="1" applyFont="1" applyFill="1" applyBorder="1"/>
    <xf numFmtId="0" fontId="3" fillId="0" borderId="0" xfId="0" applyFont="1" applyFill="1" applyBorder="1"/>
    <xf numFmtId="44" fontId="3" fillId="0" borderId="1" xfId="1" applyFont="1" applyFill="1" applyBorder="1"/>
    <xf numFmtId="168" fontId="3" fillId="0" borderId="1" xfId="0" applyNumberFormat="1" applyFont="1" applyFill="1" applyBorder="1"/>
    <xf numFmtId="168" fontId="3" fillId="0" borderId="0" xfId="0" applyNumberFormat="1" applyFont="1" applyFill="1" applyBorder="1"/>
    <xf numFmtId="172" fontId="3" fillId="0" borderId="1" xfId="1" applyNumberFormat="1" applyFont="1" applyFill="1" applyBorder="1"/>
    <xf numFmtId="164" fontId="3" fillId="0" borderId="0" xfId="0" applyNumberFormat="1" applyFont="1" applyFill="1"/>
    <xf numFmtId="0" fontId="11" fillId="0" borderId="1" xfId="0" applyFont="1" applyFill="1" applyBorder="1" applyAlignment="1">
      <alignment horizontal="right"/>
    </xf>
    <xf numFmtId="164" fontId="3" fillId="0" borderId="1" xfId="0" applyNumberFormat="1" applyFont="1" applyFill="1" applyBorder="1"/>
    <xf numFmtId="44" fontId="3" fillId="0" borderId="1" xfId="0" applyNumberFormat="1" applyFont="1" applyFill="1" applyBorder="1"/>
    <xf numFmtId="9" fontId="11" fillId="0" borderId="1" xfId="2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11" fillId="0" borderId="8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left"/>
    </xf>
    <xf numFmtId="0" fontId="13" fillId="0" borderId="0" xfId="0" applyFont="1" applyFill="1" applyAlignment="1">
      <alignment horizontal="left"/>
    </xf>
    <xf numFmtId="0" fontId="11" fillId="0" borderId="2" xfId="0" applyFont="1" applyFill="1" applyBorder="1" applyAlignment="1">
      <alignment horizontal="center" vertical="center" textRotation="90" wrapText="1"/>
    </xf>
    <xf numFmtId="166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165" fontId="3" fillId="0" borderId="6" xfId="3" applyNumberFormat="1" applyFont="1" applyFill="1" applyBorder="1" applyAlignment="1">
      <alignment horizontal="center" vertical="center"/>
    </xf>
    <xf numFmtId="165" fontId="3" fillId="0" borderId="5" xfId="3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 textRotation="90" wrapText="1"/>
    </xf>
    <xf numFmtId="0" fontId="0" fillId="0" borderId="0" xfId="0" applyAlignment="1">
      <alignment horizontal="left" vertical="top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7" fontId="22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/>
    </xf>
  </cellXfs>
  <cellStyles count="726">
    <cellStyle name="Accent1 - 20%" xfId="5"/>
    <cellStyle name="Accent1 - 40%" xfId="6"/>
    <cellStyle name="Accent1 - 60%" xfId="7"/>
    <cellStyle name="Accent1 10" xfId="8"/>
    <cellStyle name="Accent1 100" xfId="9"/>
    <cellStyle name="Accent1 101" xfId="10"/>
    <cellStyle name="Accent1 11" xfId="11"/>
    <cellStyle name="Accent1 12" xfId="12"/>
    <cellStyle name="Accent1 13" xfId="13"/>
    <cellStyle name="Accent1 14" xfId="14"/>
    <cellStyle name="Accent1 15" xfId="15"/>
    <cellStyle name="Accent1 16" xfId="16"/>
    <cellStyle name="Accent1 17" xfId="17"/>
    <cellStyle name="Accent1 18" xfId="18"/>
    <cellStyle name="Accent1 19" xfId="19"/>
    <cellStyle name="Accent1 2" xfId="20"/>
    <cellStyle name="Accent1 20" xfId="21"/>
    <cellStyle name="Accent1 21" xfId="22"/>
    <cellStyle name="Accent1 22" xfId="23"/>
    <cellStyle name="Accent1 23" xfId="24"/>
    <cellStyle name="Accent1 24" xfId="25"/>
    <cellStyle name="Accent1 25" xfId="26"/>
    <cellStyle name="Accent1 26" xfId="27"/>
    <cellStyle name="Accent1 27" xfId="28"/>
    <cellStyle name="Accent1 28" xfId="29"/>
    <cellStyle name="Accent1 29" xfId="30"/>
    <cellStyle name="Accent1 3" xfId="31"/>
    <cellStyle name="Accent1 30" xfId="32"/>
    <cellStyle name="Accent1 31" xfId="33"/>
    <cellStyle name="Accent1 32" xfId="34"/>
    <cellStyle name="Accent1 33" xfId="35"/>
    <cellStyle name="Accent1 34" xfId="36"/>
    <cellStyle name="Accent1 35" xfId="37"/>
    <cellStyle name="Accent1 36" xfId="38"/>
    <cellStyle name="Accent1 37" xfId="39"/>
    <cellStyle name="Accent1 38" xfId="40"/>
    <cellStyle name="Accent1 39" xfId="41"/>
    <cellStyle name="Accent1 4" xfId="42"/>
    <cellStyle name="Accent1 40" xfId="43"/>
    <cellStyle name="Accent1 41" xfId="44"/>
    <cellStyle name="Accent1 42" xfId="45"/>
    <cellStyle name="Accent1 43" xfId="46"/>
    <cellStyle name="Accent1 44" xfId="47"/>
    <cellStyle name="Accent1 45" xfId="48"/>
    <cellStyle name="Accent1 46" xfId="49"/>
    <cellStyle name="Accent1 47" xfId="50"/>
    <cellStyle name="Accent1 48" xfId="51"/>
    <cellStyle name="Accent1 49" xfId="52"/>
    <cellStyle name="Accent1 5" xfId="53"/>
    <cellStyle name="Accent1 50" xfId="54"/>
    <cellStyle name="Accent1 51" xfId="55"/>
    <cellStyle name="Accent1 52" xfId="56"/>
    <cellStyle name="Accent1 53" xfId="57"/>
    <cellStyle name="Accent1 54" xfId="58"/>
    <cellStyle name="Accent1 55" xfId="59"/>
    <cellStyle name="Accent1 56" xfId="60"/>
    <cellStyle name="Accent1 57" xfId="61"/>
    <cellStyle name="Accent1 58" xfId="62"/>
    <cellStyle name="Accent1 59" xfId="63"/>
    <cellStyle name="Accent1 6" xfId="64"/>
    <cellStyle name="Accent1 60" xfId="65"/>
    <cellStyle name="Accent1 61" xfId="66"/>
    <cellStyle name="Accent1 62" xfId="67"/>
    <cellStyle name="Accent1 63" xfId="68"/>
    <cellStyle name="Accent1 64" xfId="69"/>
    <cellStyle name="Accent1 65" xfId="70"/>
    <cellStyle name="Accent1 66" xfId="71"/>
    <cellStyle name="Accent1 67" xfId="72"/>
    <cellStyle name="Accent1 68" xfId="73"/>
    <cellStyle name="Accent1 69" xfId="74"/>
    <cellStyle name="Accent1 7" xfId="75"/>
    <cellStyle name="Accent1 70" xfId="76"/>
    <cellStyle name="Accent1 71" xfId="77"/>
    <cellStyle name="Accent1 72" xfId="78"/>
    <cellStyle name="Accent1 73" xfId="79"/>
    <cellStyle name="Accent1 74" xfId="80"/>
    <cellStyle name="Accent1 75" xfId="81"/>
    <cellStyle name="Accent1 76" xfId="82"/>
    <cellStyle name="Accent1 77" xfId="83"/>
    <cellStyle name="Accent1 78" xfId="84"/>
    <cellStyle name="Accent1 79" xfId="85"/>
    <cellStyle name="Accent1 8" xfId="86"/>
    <cellStyle name="Accent1 80" xfId="87"/>
    <cellStyle name="Accent1 81" xfId="88"/>
    <cellStyle name="Accent1 82" xfId="89"/>
    <cellStyle name="Accent1 83" xfId="90"/>
    <cellStyle name="Accent1 84" xfId="91"/>
    <cellStyle name="Accent1 85" xfId="92"/>
    <cellStyle name="Accent1 86" xfId="93"/>
    <cellStyle name="Accent1 87" xfId="94"/>
    <cellStyle name="Accent1 88" xfId="95"/>
    <cellStyle name="Accent1 89" xfId="96"/>
    <cellStyle name="Accent1 9" xfId="97"/>
    <cellStyle name="Accent1 90" xfId="98"/>
    <cellStyle name="Accent1 91" xfId="99"/>
    <cellStyle name="Accent1 92" xfId="100"/>
    <cellStyle name="Accent1 93" xfId="101"/>
    <cellStyle name="Accent1 94" xfId="102"/>
    <cellStyle name="Accent1 95" xfId="103"/>
    <cellStyle name="Accent1 96" xfId="104"/>
    <cellStyle name="Accent1 97" xfId="105"/>
    <cellStyle name="Accent1 98" xfId="106"/>
    <cellStyle name="Accent1 99" xfId="107"/>
    <cellStyle name="Accent2 - 20%" xfId="108"/>
    <cellStyle name="Accent2 - 40%" xfId="109"/>
    <cellStyle name="Accent2 - 60%" xfId="110"/>
    <cellStyle name="Accent2 10" xfId="111"/>
    <cellStyle name="Accent2 100" xfId="112"/>
    <cellStyle name="Accent2 101" xfId="113"/>
    <cellStyle name="Accent2 11" xfId="114"/>
    <cellStyle name="Accent2 12" xfId="115"/>
    <cellStyle name="Accent2 13" xfId="116"/>
    <cellStyle name="Accent2 14" xfId="117"/>
    <cellStyle name="Accent2 15" xfId="118"/>
    <cellStyle name="Accent2 16" xfId="119"/>
    <cellStyle name="Accent2 17" xfId="120"/>
    <cellStyle name="Accent2 18" xfId="121"/>
    <cellStyle name="Accent2 19" xfId="122"/>
    <cellStyle name="Accent2 2" xfId="123"/>
    <cellStyle name="Accent2 20" xfId="124"/>
    <cellStyle name="Accent2 21" xfId="125"/>
    <cellStyle name="Accent2 22" xfId="126"/>
    <cellStyle name="Accent2 23" xfId="127"/>
    <cellStyle name="Accent2 24" xfId="128"/>
    <cellStyle name="Accent2 25" xfId="129"/>
    <cellStyle name="Accent2 26" xfId="130"/>
    <cellStyle name="Accent2 27" xfId="131"/>
    <cellStyle name="Accent2 28" xfId="132"/>
    <cellStyle name="Accent2 29" xfId="133"/>
    <cellStyle name="Accent2 3" xfId="134"/>
    <cellStyle name="Accent2 30" xfId="135"/>
    <cellStyle name="Accent2 31" xfId="136"/>
    <cellStyle name="Accent2 32" xfId="137"/>
    <cellStyle name="Accent2 33" xfId="138"/>
    <cellStyle name="Accent2 34" xfId="139"/>
    <cellStyle name="Accent2 35" xfId="140"/>
    <cellStyle name="Accent2 36" xfId="141"/>
    <cellStyle name="Accent2 37" xfId="142"/>
    <cellStyle name="Accent2 38" xfId="143"/>
    <cellStyle name="Accent2 39" xfId="144"/>
    <cellStyle name="Accent2 4" xfId="145"/>
    <cellStyle name="Accent2 40" xfId="146"/>
    <cellStyle name="Accent2 41" xfId="147"/>
    <cellStyle name="Accent2 42" xfId="148"/>
    <cellStyle name="Accent2 43" xfId="149"/>
    <cellStyle name="Accent2 44" xfId="150"/>
    <cellStyle name="Accent2 45" xfId="151"/>
    <cellStyle name="Accent2 46" xfId="152"/>
    <cellStyle name="Accent2 47" xfId="153"/>
    <cellStyle name="Accent2 48" xfId="154"/>
    <cellStyle name="Accent2 49" xfId="155"/>
    <cellStyle name="Accent2 5" xfId="156"/>
    <cellStyle name="Accent2 50" xfId="157"/>
    <cellStyle name="Accent2 51" xfId="158"/>
    <cellStyle name="Accent2 52" xfId="159"/>
    <cellStyle name="Accent2 53" xfId="160"/>
    <cellStyle name="Accent2 54" xfId="161"/>
    <cellStyle name="Accent2 55" xfId="162"/>
    <cellStyle name="Accent2 56" xfId="163"/>
    <cellStyle name="Accent2 57" xfId="164"/>
    <cellStyle name="Accent2 58" xfId="165"/>
    <cellStyle name="Accent2 59" xfId="166"/>
    <cellStyle name="Accent2 6" xfId="167"/>
    <cellStyle name="Accent2 60" xfId="168"/>
    <cellStyle name="Accent2 61" xfId="169"/>
    <cellStyle name="Accent2 62" xfId="170"/>
    <cellStyle name="Accent2 63" xfId="171"/>
    <cellStyle name="Accent2 64" xfId="172"/>
    <cellStyle name="Accent2 65" xfId="173"/>
    <cellStyle name="Accent2 66" xfId="174"/>
    <cellStyle name="Accent2 67" xfId="175"/>
    <cellStyle name="Accent2 68" xfId="176"/>
    <cellStyle name="Accent2 69" xfId="177"/>
    <cellStyle name="Accent2 7" xfId="178"/>
    <cellStyle name="Accent2 70" xfId="179"/>
    <cellStyle name="Accent2 71" xfId="180"/>
    <cellStyle name="Accent2 72" xfId="181"/>
    <cellStyle name="Accent2 73" xfId="182"/>
    <cellStyle name="Accent2 74" xfId="183"/>
    <cellStyle name="Accent2 75" xfId="184"/>
    <cellStyle name="Accent2 76" xfId="185"/>
    <cellStyle name="Accent2 77" xfId="186"/>
    <cellStyle name="Accent2 78" xfId="187"/>
    <cellStyle name="Accent2 79" xfId="188"/>
    <cellStyle name="Accent2 8" xfId="189"/>
    <cellStyle name="Accent2 80" xfId="190"/>
    <cellStyle name="Accent2 81" xfId="191"/>
    <cellStyle name="Accent2 82" xfId="192"/>
    <cellStyle name="Accent2 83" xfId="193"/>
    <cellStyle name="Accent2 84" xfId="194"/>
    <cellStyle name="Accent2 85" xfId="195"/>
    <cellStyle name="Accent2 86" xfId="196"/>
    <cellStyle name="Accent2 87" xfId="197"/>
    <cellStyle name="Accent2 88" xfId="198"/>
    <cellStyle name="Accent2 89" xfId="199"/>
    <cellStyle name="Accent2 9" xfId="200"/>
    <cellStyle name="Accent2 90" xfId="201"/>
    <cellStyle name="Accent2 91" xfId="202"/>
    <cellStyle name="Accent2 92" xfId="203"/>
    <cellStyle name="Accent2 93" xfId="204"/>
    <cellStyle name="Accent2 94" xfId="205"/>
    <cellStyle name="Accent2 95" xfId="206"/>
    <cellStyle name="Accent2 96" xfId="207"/>
    <cellStyle name="Accent2 97" xfId="208"/>
    <cellStyle name="Accent2 98" xfId="209"/>
    <cellStyle name="Accent2 99" xfId="210"/>
    <cellStyle name="Accent3 - 20%" xfId="211"/>
    <cellStyle name="Accent3 - 40%" xfId="212"/>
    <cellStyle name="Accent3 - 60%" xfId="213"/>
    <cellStyle name="Accent3 10" xfId="214"/>
    <cellStyle name="Accent3 100" xfId="215"/>
    <cellStyle name="Accent3 101" xfId="216"/>
    <cellStyle name="Accent3 11" xfId="217"/>
    <cellStyle name="Accent3 12" xfId="218"/>
    <cellStyle name="Accent3 13" xfId="219"/>
    <cellStyle name="Accent3 14" xfId="220"/>
    <cellStyle name="Accent3 15" xfId="221"/>
    <cellStyle name="Accent3 16" xfId="222"/>
    <cellStyle name="Accent3 17" xfId="223"/>
    <cellStyle name="Accent3 18" xfId="224"/>
    <cellStyle name="Accent3 19" xfId="225"/>
    <cellStyle name="Accent3 2" xfId="226"/>
    <cellStyle name="Accent3 20" xfId="227"/>
    <cellStyle name="Accent3 21" xfId="228"/>
    <cellStyle name="Accent3 22" xfId="229"/>
    <cellStyle name="Accent3 23" xfId="230"/>
    <cellStyle name="Accent3 24" xfId="231"/>
    <cellStyle name="Accent3 25" xfId="232"/>
    <cellStyle name="Accent3 26" xfId="233"/>
    <cellStyle name="Accent3 27" xfId="234"/>
    <cellStyle name="Accent3 28" xfId="235"/>
    <cellStyle name="Accent3 29" xfId="236"/>
    <cellStyle name="Accent3 3" xfId="237"/>
    <cellStyle name="Accent3 30" xfId="238"/>
    <cellStyle name="Accent3 31" xfId="239"/>
    <cellStyle name="Accent3 32" xfId="240"/>
    <cellStyle name="Accent3 33" xfId="241"/>
    <cellStyle name="Accent3 34" xfId="242"/>
    <cellStyle name="Accent3 35" xfId="243"/>
    <cellStyle name="Accent3 36" xfId="244"/>
    <cellStyle name="Accent3 37" xfId="245"/>
    <cellStyle name="Accent3 38" xfId="246"/>
    <cellStyle name="Accent3 39" xfId="247"/>
    <cellStyle name="Accent3 4" xfId="248"/>
    <cellStyle name="Accent3 40" xfId="249"/>
    <cellStyle name="Accent3 41" xfId="250"/>
    <cellStyle name="Accent3 42" xfId="251"/>
    <cellStyle name="Accent3 43" xfId="252"/>
    <cellStyle name="Accent3 44" xfId="253"/>
    <cellStyle name="Accent3 45" xfId="254"/>
    <cellStyle name="Accent3 46" xfId="255"/>
    <cellStyle name="Accent3 47" xfId="256"/>
    <cellStyle name="Accent3 48" xfId="257"/>
    <cellStyle name="Accent3 49" xfId="258"/>
    <cellStyle name="Accent3 5" xfId="259"/>
    <cellStyle name="Accent3 50" xfId="260"/>
    <cellStyle name="Accent3 51" xfId="261"/>
    <cellStyle name="Accent3 52" xfId="262"/>
    <cellStyle name="Accent3 53" xfId="263"/>
    <cellStyle name="Accent3 54" xfId="264"/>
    <cellStyle name="Accent3 55" xfId="265"/>
    <cellStyle name="Accent3 56" xfId="266"/>
    <cellStyle name="Accent3 57" xfId="267"/>
    <cellStyle name="Accent3 58" xfId="268"/>
    <cellStyle name="Accent3 59" xfId="269"/>
    <cellStyle name="Accent3 6" xfId="270"/>
    <cellStyle name="Accent3 60" xfId="271"/>
    <cellStyle name="Accent3 61" xfId="272"/>
    <cellStyle name="Accent3 62" xfId="273"/>
    <cellStyle name="Accent3 63" xfId="274"/>
    <cellStyle name="Accent3 64" xfId="275"/>
    <cellStyle name="Accent3 65" xfId="276"/>
    <cellStyle name="Accent3 66" xfId="277"/>
    <cellStyle name="Accent3 67" xfId="278"/>
    <cellStyle name="Accent3 68" xfId="279"/>
    <cellStyle name="Accent3 69" xfId="280"/>
    <cellStyle name="Accent3 7" xfId="281"/>
    <cellStyle name="Accent3 70" xfId="282"/>
    <cellStyle name="Accent3 71" xfId="283"/>
    <cellStyle name="Accent3 72" xfId="284"/>
    <cellStyle name="Accent3 73" xfId="285"/>
    <cellStyle name="Accent3 74" xfId="286"/>
    <cellStyle name="Accent3 75" xfId="287"/>
    <cellStyle name="Accent3 76" xfId="288"/>
    <cellStyle name="Accent3 77" xfId="289"/>
    <cellStyle name="Accent3 78" xfId="290"/>
    <cellStyle name="Accent3 79" xfId="291"/>
    <cellStyle name="Accent3 8" xfId="292"/>
    <cellStyle name="Accent3 80" xfId="293"/>
    <cellStyle name="Accent3 81" xfId="294"/>
    <cellStyle name="Accent3 82" xfId="295"/>
    <cellStyle name="Accent3 83" xfId="296"/>
    <cellStyle name="Accent3 84" xfId="297"/>
    <cellStyle name="Accent3 85" xfId="298"/>
    <cellStyle name="Accent3 86" xfId="299"/>
    <cellStyle name="Accent3 87" xfId="300"/>
    <cellStyle name="Accent3 88" xfId="301"/>
    <cellStyle name="Accent3 89" xfId="302"/>
    <cellStyle name="Accent3 9" xfId="303"/>
    <cellStyle name="Accent3 90" xfId="304"/>
    <cellStyle name="Accent3 91" xfId="305"/>
    <cellStyle name="Accent3 92" xfId="306"/>
    <cellStyle name="Accent3 93" xfId="307"/>
    <cellStyle name="Accent3 94" xfId="308"/>
    <cellStyle name="Accent3 95" xfId="309"/>
    <cellStyle name="Accent3 96" xfId="310"/>
    <cellStyle name="Accent3 97" xfId="311"/>
    <cellStyle name="Accent3 98" xfId="312"/>
    <cellStyle name="Accent3 99" xfId="313"/>
    <cellStyle name="Accent4 - 20%" xfId="314"/>
    <cellStyle name="Accent4 - 40%" xfId="315"/>
    <cellStyle name="Accent4 - 60%" xfId="316"/>
    <cellStyle name="Accent4 10" xfId="317"/>
    <cellStyle name="Accent4 100" xfId="318"/>
    <cellStyle name="Accent4 101" xfId="319"/>
    <cellStyle name="Accent4 11" xfId="320"/>
    <cellStyle name="Accent4 12" xfId="321"/>
    <cellStyle name="Accent4 13" xfId="322"/>
    <cellStyle name="Accent4 14" xfId="323"/>
    <cellStyle name="Accent4 15" xfId="324"/>
    <cellStyle name="Accent4 16" xfId="325"/>
    <cellStyle name="Accent4 17" xfId="326"/>
    <cellStyle name="Accent4 18" xfId="327"/>
    <cellStyle name="Accent4 19" xfId="328"/>
    <cellStyle name="Accent4 2" xfId="329"/>
    <cellStyle name="Accent4 20" xfId="330"/>
    <cellStyle name="Accent4 21" xfId="331"/>
    <cellStyle name="Accent4 22" xfId="332"/>
    <cellStyle name="Accent4 23" xfId="333"/>
    <cellStyle name="Accent4 24" xfId="334"/>
    <cellStyle name="Accent4 25" xfId="335"/>
    <cellStyle name="Accent4 26" xfId="336"/>
    <cellStyle name="Accent4 27" xfId="337"/>
    <cellStyle name="Accent4 28" xfId="338"/>
    <cellStyle name="Accent4 29" xfId="339"/>
    <cellStyle name="Accent4 3" xfId="340"/>
    <cellStyle name="Accent4 30" xfId="341"/>
    <cellStyle name="Accent4 31" xfId="342"/>
    <cellStyle name="Accent4 32" xfId="343"/>
    <cellStyle name="Accent4 33" xfId="344"/>
    <cellStyle name="Accent4 34" xfId="345"/>
    <cellStyle name="Accent4 35" xfId="346"/>
    <cellStyle name="Accent4 36" xfId="347"/>
    <cellStyle name="Accent4 37" xfId="348"/>
    <cellStyle name="Accent4 38" xfId="349"/>
    <cellStyle name="Accent4 39" xfId="350"/>
    <cellStyle name="Accent4 4" xfId="351"/>
    <cellStyle name="Accent4 40" xfId="352"/>
    <cellStyle name="Accent4 41" xfId="353"/>
    <cellStyle name="Accent4 42" xfId="354"/>
    <cellStyle name="Accent4 43" xfId="355"/>
    <cellStyle name="Accent4 44" xfId="356"/>
    <cellStyle name="Accent4 45" xfId="357"/>
    <cellStyle name="Accent4 46" xfId="358"/>
    <cellStyle name="Accent4 47" xfId="359"/>
    <cellStyle name="Accent4 48" xfId="360"/>
    <cellStyle name="Accent4 49" xfId="361"/>
    <cellStyle name="Accent4 5" xfId="362"/>
    <cellStyle name="Accent4 50" xfId="363"/>
    <cellStyle name="Accent4 51" xfId="364"/>
    <cellStyle name="Accent4 52" xfId="365"/>
    <cellStyle name="Accent4 53" xfId="366"/>
    <cellStyle name="Accent4 54" xfId="367"/>
    <cellStyle name="Accent4 55" xfId="368"/>
    <cellStyle name="Accent4 56" xfId="369"/>
    <cellStyle name="Accent4 57" xfId="370"/>
    <cellStyle name="Accent4 58" xfId="371"/>
    <cellStyle name="Accent4 59" xfId="372"/>
    <cellStyle name="Accent4 6" xfId="373"/>
    <cellStyle name="Accent4 60" xfId="374"/>
    <cellStyle name="Accent4 61" xfId="375"/>
    <cellStyle name="Accent4 62" xfId="376"/>
    <cellStyle name="Accent4 63" xfId="377"/>
    <cellStyle name="Accent4 64" xfId="378"/>
    <cellStyle name="Accent4 65" xfId="379"/>
    <cellStyle name="Accent4 66" xfId="380"/>
    <cellStyle name="Accent4 67" xfId="381"/>
    <cellStyle name="Accent4 68" xfId="382"/>
    <cellStyle name="Accent4 69" xfId="383"/>
    <cellStyle name="Accent4 7" xfId="384"/>
    <cellStyle name="Accent4 70" xfId="385"/>
    <cellStyle name="Accent4 71" xfId="386"/>
    <cellStyle name="Accent4 72" xfId="387"/>
    <cellStyle name="Accent4 73" xfId="388"/>
    <cellStyle name="Accent4 74" xfId="389"/>
    <cellStyle name="Accent4 75" xfId="390"/>
    <cellStyle name="Accent4 76" xfId="391"/>
    <cellStyle name="Accent4 77" xfId="392"/>
    <cellStyle name="Accent4 78" xfId="393"/>
    <cellStyle name="Accent4 79" xfId="394"/>
    <cellStyle name="Accent4 8" xfId="395"/>
    <cellStyle name="Accent4 80" xfId="396"/>
    <cellStyle name="Accent4 81" xfId="397"/>
    <cellStyle name="Accent4 82" xfId="398"/>
    <cellStyle name="Accent4 83" xfId="399"/>
    <cellStyle name="Accent4 84" xfId="400"/>
    <cellStyle name="Accent4 85" xfId="401"/>
    <cellStyle name="Accent4 86" xfId="402"/>
    <cellStyle name="Accent4 87" xfId="403"/>
    <cellStyle name="Accent4 88" xfId="404"/>
    <cellStyle name="Accent4 89" xfId="405"/>
    <cellStyle name="Accent4 9" xfId="406"/>
    <cellStyle name="Accent4 90" xfId="407"/>
    <cellStyle name="Accent4 91" xfId="408"/>
    <cellStyle name="Accent4 92" xfId="409"/>
    <cellStyle name="Accent4 93" xfId="410"/>
    <cellStyle name="Accent4 94" xfId="411"/>
    <cellStyle name="Accent4 95" xfId="412"/>
    <cellStyle name="Accent4 96" xfId="413"/>
    <cellStyle name="Accent4 97" xfId="414"/>
    <cellStyle name="Accent4 98" xfId="415"/>
    <cellStyle name="Accent4 99" xfId="416"/>
    <cellStyle name="Accent5 - 20%" xfId="417"/>
    <cellStyle name="Accent5 - 40%" xfId="418"/>
    <cellStyle name="Accent5 - 60%" xfId="419"/>
    <cellStyle name="Accent5 10" xfId="420"/>
    <cellStyle name="Accent5 100" xfId="421"/>
    <cellStyle name="Accent5 101" xfId="422"/>
    <cellStyle name="Accent5 11" xfId="423"/>
    <cellStyle name="Accent5 12" xfId="424"/>
    <cellStyle name="Accent5 13" xfId="425"/>
    <cellStyle name="Accent5 14" xfId="426"/>
    <cellStyle name="Accent5 15" xfId="427"/>
    <cellStyle name="Accent5 16" xfId="428"/>
    <cellStyle name="Accent5 17" xfId="429"/>
    <cellStyle name="Accent5 18" xfId="430"/>
    <cellStyle name="Accent5 19" xfId="431"/>
    <cellStyle name="Accent5 2" xfId="432"/>
    <cellStyle name="Accent5 20" xfId="433"/>
    <cellStyle name="Accent5 21" xfId="434"/>
    <cellStyle name="Accent5 22" xfId="435"/>
    <cellStyle name="Accent5 23" xfId="436"/>
    <cellStyle name="Accent5 24" xfId="437"/>
    <cellStyle name="Accent5 25" xfId="438"/>
    <cellStyle name="Accent5 26" xfId="439"/>
    <cellStyle name="Accent5 27" xfId="440"/>
    <cellStyle name="Accent5 28" xfId="441"/>
    <cellStyle name="Accent5 29" xfId="442"/>
    <cellStyle name="Accent5 3" xfId="443"/>
    <cellStyle name="Accent5 30" xfId="444"/>
    <cellStyle name="Accent5 31" xfId="445"/>
    <cellStyle name="Accent5 32" xfId="446"/>
    <cellStyle name="Accent5 33" xfId="447"/>
    <cellStyle name="Accent5 34" xfId="448"/>
    <cellStyle name="Accent5 35" xfId="449"/>
    <cellStyle name="Accent5 36" xfId="450"/>
    <cellStyle name="Accent5 37" xfId="451"/>
    <cellStyle name="Accent5 38" xfId="452"/>
    <cellStyle name="Accent5 39" xfId="453"/>
    <cellStyle name="Accent5 4" xfId="454"/>
    <cellStyle name="Accent5 40" xfId="455"/>
    <cellStyle name="Accent5 41" xfId="456"/>
    <cellStyle name="Accent5 42" xfId="457"/>
    <cellStyle name="Accent5 43" xfId="458"/>
    <cellStyle name="Accent5 44" xfId="459"/>
    <cellStyle name="Accent5 45" xfId="460"/>
    <cellStyle name="Accent5 46" xfId="461"/>
    <cellStyle name="Accent5 47" xfId="462"/>
    <cellStyle name="Accent5 48" xfId="463"/>
    <cellStyle name="Accent5 49" xfId="464"/>
    <cellStyle name="Accent5 5" xfId="465"/>
    <cellStyle name="Accent5 50" xfId="466"/>
    <cellStyle name="Accent5 51" xfId="467"/>
    <cellStyle name="Accent5 52" xfId="468"/>
    <cellStyle name="Accent5 53" xfId="469"/>
    <cellStyle name="Accent5 54" xfId="470"/>
    <cellStyle name="Accent5 55" xfId="471"/>
    <cellStyle name="Accent5 56" xfId="472"/>
    <cellStyle name="Accent5 57" xfId="473"/>
    <cellStyle name="Accent5 58" xfId="474"/>
    <cellStyle name="Accent5 59" xfId="475"/>
    <cellStyle name="Accent5 6" xfId="476"/>
    <cellStyle name="Accent5 60" xfId="477"/>
    <cellStyle name="Accent5 61" xfId="478"/>
    <cellStyle name="Accent5 62" xfId="479"/>
    <cellStyle name="Accent5 63" xfId="480"/>
    <cellStyle name="Accent5 64" xfId="481"/>
    <cellStyle name="Accent5 65" xfId="482"/>
    <cellStyle name="Accent5 66" xfId="483"/>
    <cellStyle name="Accent5 67" xfId="484"/>
    <cellStyle name="Accent5 68" xfId="485"/>
    <cellStyle name="Accent5 69" xfId="486"/>
    <cellStyle name="Accent5 7" xfId="487"/>
    <cellStyle name="Accent5 70" xfId="488"/>
    <cellStyle name="Accent5 71" xfId="489"/>
    <cellStyle name="Accent5 72" xfId="490"/>
    <cellStyle name="Accent5 73" xfId="491"/>
    <cellStyle name="Accent5 74" xfId="492"/>
    <cellStyle name="Accent5 75" xfId="493"/>
    <cellStyle name="Accent5 76" xfId="494"/>
    <cellStyle name="Accent5 77" xfId="495"/>
    <cellStyle name="Accent5 78" xfId="496"/>
    <cellStyle name="Accent5 79" xfId="497"/>
    <cellStyle name="Accent5 8" xfId="498"/>
    <cellStyle name="Accent5 80" xfId="499"/>
    <cellStyle name="Accent5 81" xfId="500"/>
    <cellStyle name="Accent5 82" xfId="501"/>
    <cellStyle name="Accent5 83" xfId="502"/>
    <cellStyle name="Accent5 84" xfId="503"/>
    <cellStyle name="Accent5 85" xfId="504"/>
    <cellStyle name="Accent5 86" xfId="505"/>
    <cellStyle name="Accent5 87" xfId="506"/>
    <cellStyle name="Accent5 88" xfId="507"/>
    <cellStyle name="Accent5 89" xfId="508"/>
    <cellStyle name="Accent5 9" xfId="509"/>
    <cellStyle name="Accent5 90" xfId="510"/>
    <cellStyle name="Accent5 91" xfId="511"/>
    <cellStyle name="Accent5 92" xfId="512"/>
    <cellStyle name="Accent5 93" xfId="513"/>
    <cellStyle name="Accent5 94" xfId="514"/>
    <cellStyle name="Accent5 95" xfId="515"/>
    <cellStyle name="Accent5 96" xfId="516"/>
    <cellStyle name="Accent5 97" xfId="517"/>
    <cellStyle name="Accent5 98" xfId="518"/>
    <cellStyle name="Accent5 99" xfId="519"/>
    <cellStyle name="Accent6 - 20%" xfId="520"/>
    <cellStyle name="Accent6 - 40%" xfId="521"/>
    <cellStyle name="Accent6 - 60%" xfId="522"/>
    <cellStyle name="Accent6 10" xfId="523"/>
    <cellStyle name="Accent6 100" xfId="524"/>
    <cellStyle name="Accent6 101" xfId="525"/>
    <cellStyle name="Accent6 11" xfId="526"/>
    <cellStyle name="Accent6 12" xfId="527"/>
    <cellStyle name="Accent6 13" xfId="528"/>
    <cellStyle name="Accent6 14" xfId="529"/>
    <cellStyle name="Accent6 15" xfId="530"/>
    <cellStyle name="Accent6 16" xfId="531"/>
    <cellStyle name="Accent6 17" xfId="532"/>
    <cellStyle name="Accent6 18" xfId="533"/>
    <cellStyle name="Accent6 19" xfId="534"/>
    <cellStyle name="Accent6 2" xfId="535"/>
    <cellStyle name="Accent6 20" xfId="536"/>
    <cellStyle name="Accent6 21" xfId="537"/>
    <cellStyle name="Accent6 22" xfId="538"/>
    <cellStyle name="Accent6 23" xfId="539"/>
    <cellStyle name="Accent6 24" xfId="540"/>
    <cellStyle name="Accent6 25" xfId="541"/>
    <cellStyle name="Accent6 26" xfId="542"/>
    <cellStyle name="Accent6 27" xfId="543"/>
    <cellStyle name="Accent6 28" xfId="544"/>
    <cellStyle name="Accent6 29" xfId="545"/>
    <cellStyle name="Accent6 3" xfId="546"/>
    <cellStyle name="Accent6 30" xfId="547"/>
    <cellStyle name="Accent6 31" xfId="548"/>
    <cellStyle name="Accent6 32" xfId="549"/>
    <cellStyle name="Accent6 33" xfId="550"/>
    <cellStyle name="Accent6 34" xfId="551"/>
    <cellStyle name="Accent6 35" xfId="552"/>
    <cellStyle name="Accent6 36" xfId="553"/>
    <cellStyle name="Accent6 37" xfId="554"/>
    <cellStyle name="Accent6 38" xfId="555"/>
    <cellStyle name="Accent6 39" xfId="556"/>
    <cellStyle name="Accent6 4" xfId="557"/>
    <cellStyle name="Accent6 40" xfId="558"/>
    <cellStyle name="Accent6 41" xfId="559"/>
    <cellStyle name="Accent6 42" xfId="560"/>
    <cellStyle name="Accent6 43" xfId="561"/>
    <cellStyle name="Accent6 44" xfId="562"/>
    <cellStyle name="Accent6 45" xfId="563"/>
    <cellStyle name="Accent6 46" xfId="564"/>
    <cellStyle name="Accent6 47" xfId="565"/>
    <cellStyle name="Accent6 48" xfId="566"/>
    <cellStyle name="Accent6 49" xfId="567"/>
    <cellStyle name="Accent6 5" xfId="568"/>
    <cellStyle name="Accent6 50" xfId="569"/>
    <cellStyle name="Accent6 51" xfId="570"/>
    <cellStyle name="Accent6 52" xfId="571"/>
    <cellStyle name="Accent6 53" xfId="572"/>
    <cellStyle name="Accent6 54" xfId="573"/>
    <cellStyle name="Accent6 55" xfId="574"/>
    <cellStyle name="Accent6 56" xfId="575"/>
    <cellStyle name="Accent6 57" xfId="576"/>
    <cellStyle name="Accent6 58" xfId="577"/>
    <cellStyle name="Accent6 59" xfId="578"/>
    <cellStyle name="Accent6 6" xfId="579"/>
    <cellStyle name="Accent6 60" xfId="580"/>
    <cellStyle name="Accent6 61" xfId="581"/>
    <cellStyle name="Accent6 62" xfId="582"/>
    <cellStyle name="Accent6 63" xfId="583"/>
    <cellStyle name="Accent6 64" xfId="584"/>
    <cellStyle name="Accent6 65" xfId="585"/>
    <cellStyle name="Accent6 66" xfId="586"/>
    <cellStyle name="Accent6 67" xfId="587"/>
    <cellStyle name="Accent6 68" xfId="588"/>
    <cellStyle name="Accent6 69" xfId="589"/>
    <cellStyle name="Accent6 7" xfId="590"/>
    <cellStyle name="Accent6 70" xfId="591"/>
    <cellStyle name="Accent6 71" xfId="592"/>
    <cellStyle name="Accent6 72" xfId="593"/>
    <cellStyle name="Accent6 73" xfId="594"/>
    <cellStyle name="Accent6 74" xfId="595"/>
    <cellStyle name="Accent6 75" xfId="596"/>
    <cellStyle name="Accent6 76" xfId="597"/>
    <cellStyle name="Accent6 77" xfId="598"/>
    <cellStyle name="Accent6 78" xfId="599"/>
    <cellStyle name="Accent6 79" xfId="600"/>
    <cellStyle name="Accent6 8" xfId="601"/>
    <cellStyle name="Accent6 80" xfId="602"/>
    <cellStyle name="Accent6 81" xfId="603"/>
    <cellStyle name="Accent6 82" xfId="604"/>
    <cellStyle name="Accent6 83" xfId="605"/>
    <cellStyle name="Accent6 84" xfId="606"/>
    <cellStyle name="Accent6 85" xfId="607"/>
    <cellStyle name="Accent6 86" xfId="608"/>
    <cellStyle name="Accent6 87" xfId="609"/>
    <cellStyle name="Accent6 88" xfId="610"/>
    <cellStyle name="Accent6 89" xfId="611"/>
    <cellStyle name="Accent6 9" xfId="612"/>
    <cellStyle name="Accent6 90" xfId="613"/>
    <cellStyle name="Accent6 91" xfId="614"/>
    <cellStyle name="Accent6 92" xfId="615"/>
    <cellStyle name="Accent6 93" xfId="616"/>
    <cellStyle name="Accent6 94" xfId="617"/>
    <cellStyle name="Accent6 95" xfId="618"/>
    <cellStyle name="Accent6 96" xfId="619"/>
    <cellStyle name="Accent6 97" xfId="620"/>
    <cellStyle name="Accent6 98" xfId="621"/>
    <cellStyle name="Accent6 99" xfId="622"/>
    <cellStyle name="Bad 2" xfId="623"/>
    <cellStyle name="Calculation 2" xfId="624"/>
    <cellStyle name="Check Cell 2" xfId="625"/>
    <cellStyle name="Comma" xfId="3" builtinId="3"/>
    <cellStyle name="Comma 2" xfId="4"/>
    <cellStyle name="Currency" xfId="1" builtinId="4"/>
    <cellStyle name="Emphasis 1" xfId="626"/>
    <cellStyle name="Emphasis 2" xfId="627"/>
    <cellStyle name="Emphasis 3" xfId="628"/>
    <cellStyle name="Good 2" xfId="629"/>
    <cellStyle name="Good 2 2" xfId="630"/>
    <cellStyle name="Heading 1 2" xfId="631"/>
    <cellStyle name="Heading 2 2" xfId="632"/>
    <cellStyle name="Heading 3 2" xfId="633"/>
    <cellStyle name="Heading 4 2" xfId="634"/>
    <cellStyle name="Input 2" xfId="635"/>
    <cellStyle name="Linked Cell 2" xfId="636"/>
    <cellStyle name="Neutral 2" xfId="637"/>
    <cellStyle name="Normal" xfId="0" builtinId="0"/>
    <cellStyle name="Normal 2" xfId="638"/>
    <cellStyle name="Normal 2 2" xfId="639"/>
    <cellStyle name="Normal 2 2 2" xfId="640"/>
    <cellStyle name="Normal 2 2_O&amp;M" xfId="641"/>
    <cellStyle name="Normal 2 3" xfId="642"/>
    <cellStyle name="Normal 3" xfId="643"/>
    <cellStyle name="Normal 3 2" xfId="644"/>
    <cellStyle name="Normal 3 2 2" xfId="645"/>
    <cellStyle name="Normal 3 2_O&amp;M" xfId="646"/>
    <cellStyle name="Normal 3 3" xfId="647"/>
    <cellStyle name="Normal 3 4" xfId="648"/>
    <cellStyle name="Normal 4" xfId="649"/>
    <cellStyle name="Normal 4 2" xfId="650"/>
    <cellStyle name="Normal 4 2 2" xfId="651"/>
    <cellStyle name="Normal 4 3" xfId="652"/>
    <cellStyle name="Normal 5" xfId="653"/>
    <cellStyle name="Normal 5 2" xfId="654"/>
    <cellStyle name="Note 2" xfId="655"/>
    <cellStyle name="Note 2 2" xfId="656"/>
    <cellStyle name="Output 2" xfId="657"/>
    <cellStyle name="Percent" xfId="2" builtinId="5"/>
    <cellStyle name="SAPBEXaggData" xfId="658"/>
    <cellStyle name="SAPBEXaggData 2" xfId="659"/>
    <cellStyle name="SAPBEXaggDataEmph" xfId="660"/>
    <cellStyle name="SAPBEXaggItem" xfId="661"/>
    <cellStyle name="SAPBEXaggItem 2" xfId="662"/>
    <cellStyle name="SAPBEXaggItemX" xfId="663"/>
    <cellStyle name="SAPBEXchaText" xfId="664"/>
    <cellStyle name="SAPBEXchaText 2" xfId="665"/>
    <cellStyle name="SAPBEXexcBad7" xfId="666"/>
    <cellStyle name="SAPBEXexcBad7 2" xfId="667"/>
    <cellStyle name="SAPBEXexcBad8" xfId="668"/>
    <cellStyle name="SAPBEXexcBad8 2" xfId="669"/>
    <cellStyle name="SAPBEXexcBad9" xfId="670"/>
    <cellStyle name="SAPBEXexcBad9 2" xfId="671"/>
    <cellStyle name="SAPBEXexcCritical4" xfId="672"/>
    <cellStyle name="SAPBEXexcCritical4 2" xfId="673"/>
    <cellStyle name="SAPBEXexcCritical5" xfId="674"/>
    <cellStyle name="SAPBEXexcCritical5 2" xfId="675"/>
    <cellStyle name="SAPBEXexcCritical6" xfId="676"/>
    <cellStyle name="SAPBEXexcCritical6 2" xfId="677"/>
    <cellStyle name="SAPBEXexcGood1" xfId="678"/>
    <cellStyle name="SAPBEXexcGood1 2" xfId="679"/>
    <cellStyle name="SAPBEXexcGood2" xfId="680"/>
    <cellStyle name="SAPBEXexcGood2 2" xfId="681"/>
    <cellStyle name="SAPBEXexcGood3" xfId="682"/>
    <cellStyle name="SAPBEXexcGood3 2" xfId="683"/>
    <cellStyle name="SAPBEXfilterDrill" xfId="684"/>
    <cellStyle name="SAPBEXfilterDrill 2" xfId="685"/>
    <cellStyle name="SAPBEXfilterItem" xfId="686"/>
    <cellStyle name="SAPBEXfilterText" xfId="687"/>
    <cellStyle name="SAPBEXformats" xfId="688"/>
    <cellStyle name="SAPBEXformats 2" xfId="689"/>
    <cellStyle name="SAPBEXheaderItem" xfId="690"/>
    <cellStyle name="SAPBEXheaderItem 2" xfId="691"/>
    <cellStyle name="SAPBEXheaderText" xfId="692"/>
    <cellStyle name="SAPBEXheaderText 2" xfId="693"/>
    <cellStyle name="SAPBEXHLevel0" xfId="694"/>
    <cellStyle name="SAPBEXHLevel0 2" xfId="695"/>
    <cellStyle name="SAPBEXHLevel0X" xfId="696"/>
    <cellStyle name="SAPBEXHLevel1" xfId="697"/>
    <cellStyle name="SAPBEXHLevel1 2" xfId="698"/>
    <cellStyle name="SAPBEXHLevel1X" xfId="699"/>
    <cellStyle name="SAPBEXHLevel2" xfId="700"/>
    <cellStyle name="SAPBEXHLevel2 2" xfId="701"/>
    <cellStyle name="SAPBEXHLevel2X" xfId="702"/>
    <cellStyle name="SAPBEXHLevel3" xfId="703"/>
    <cellStyle name="SAPBEXHLevel3 2" xfId="704"/>
    <cellStyle name="SAPBEXHLevel3X" xfId="705"/>
    <cellStyle name="SAPBEXinputData" xfId="706"/>
    <cellStyle name="SAPBEXItemHeader" xfId="707"/>
    <cellStyle name="SAPBEXresData" xfId="708"/>
    <cellStyle name="SAPBEXresDataEmph" xfId="709"/>
    <cellStyle name="SAPBEXresItem" xfId="710"/>
    <cellStyle name="SAPBEXresItemX" xfId="711"/>
    <cellStyle name="SAPBEXstdData" xfId="712"/>
    <cellStyle name="SAPBEXstdData 2" xfId="713"/>
    <cellStyle name="SAPBEXstdDataEmph" xfId="714"/>
    <cellStyle name="SAPBEXstdItem" xfId="715"/>
    <cellStyle name="SAPBEXstdItem 2" xfId="716"/>
    <cellStyle name="SAPBEXstdItemX" xfId="717"/>
    <cellStyle name="SAPBEXtitle" xfId="718"/>
    <cellStyle name="SAPBEXunassignedItem" xfId="719"/>
    <cellStyle name="SAPBEXunassignedItem 2" xfId="720"/>
    <cellStyle name="SAPBEXundefined" xfId="721"/>
    <cellStyle name="Sheet Title" xfId="722"/>
    <cellStyle name="Style 1" xfId="723"/>
    <cellStyle name="Total 2" xfId="724"/>
    <cellStyle name="Warning Text 2" xfId="7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baseline="0">
                <a:effectLst/>
              </a:rPr>
              <a:t>DER, </a:t>
            </a:r>
            <a:r>
              <a:rPr lang="en-US"/>
              <a:t>Efficient Frontier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18F3F5A9-2EF5-42D6-89F5-9D8D5A51F5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6E3-4EE4-9182-8D9EA5EC818D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F7CE8772-CEA5-4AD3-B6AC-F649B09FD3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1D8C-4107-AD34-F1057B1A7FDF}"/>
                </c:ext>
              </c:extLst>
            </c:dLbl>
            <c:dLbl>
              <c:idx val="2"/>
              <c:layout>
                <c:manualLayout>
                  <c:x val="-0.14688230250227483"/>
                  <c:y val="-1.5765621096956072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6E3-4EE4-9182-8D9EA5EC818D}"/>
                </c:ext>
              </c:extLst>
            </c:dLbl>
            <c:dLbl>
              <c:idx val="3"/>
              <c:layout>
                <c:manualLayout>
                  <c:x val="-3.9268076771336619E-2"/>
                  <c:y val="0.13905720301181165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E3-4EE4-9182-8D9EA5EC818D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31-4CFF-A386-EAAB3A7BC2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Analysis!$AL$13:$AL$17</c:f>
              <c:numCache>
                <c:formatCode>_(* #,##0.00_);_(* \(#,##0.00\);_(* "-"??_);_(@_)</c:formatCode>
                <c:ptCount val="5"/>
                <c:pt idx="0" formatCode="General">
                  <c:v>0</c:v>
                </c:pt>
                <c:pt idx="1">
                  <c:v>859</c:v>
                </c:pt>
                <c:pt idx="2">
                  <c:v>1109</c:v>
                </c:pt>
                <c:pt idx="3">
                  <c:v>1509</c:v>
                </c:pt>
                <c:pt idx="4">
                  <c:v>2484</c:v>
                </c:pt>
              </c:numCache>
            </c:numRef>
          </c:xVal>
          <c:yVal>
            <c:numRef>
              <c:f>Analysis!$AK$13:$AK$17</c:f>
              <c:numCache>
                <c:formatCode>_(* #,##0.00_);_(* \(#,##0.00\);_(* "-"??_);_(@_)</c:formatCode>
                <c:ptCount val="5"/>
                <c:pt idx="0" formatCode="General">
                  <c:v>0</c:v>
                </c:pt>
                <c:pt idx="1">
                  <c:v>12141.197926040977</c:v>
                </c:pt>
                <c:pt idx="2">
                  <c:v>12684.869354612407</c:v>
                </c:pt>
                <c:pt idx="3">
                  <c:v>13259.600617383578</c:v>
                </c:pt>
                <c:pt idx="4">
                  <c:v>14301.160617383577</c:v>
                </c:pt>
              </c:numCache>
            </c:numRef>
          </c:yVal>
          <c:smooth val="0"/>
          <c:extLst xmlns:c16r2="http://schemas.microsoft.com/office/drawing/2015/06/chart">
            <c:ext xmlns:c15="http://schemas.microsoft.com/office/drawing/2012/chart" uri="{02D57815-91ED-43cb-92C2-25804820EDAC}">
              <c15:datalabelsRange>
                <c15:f>Analysis!$AJ$13:$AJ$17</c15:f>
                <c15:dlblRangeCache>
                  <c:ptCount val="5"/>
                  <c:pt idx="1">
                    <c:v>B3</c:v>
                  </c:pt>
                  <c:pt idx="2">
                    <c:v>P2</c:v>
                  </c:pt>
                  <c:pt idx="3">
                    <c:v>P1</c:v>
                  </c:pt>
                  <c:pt idx="4">
                    <c:v>B1-B2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890-46BC-9825-97494C960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37984"/>
        <c:axId val="96139904"/>
      </c:scatterChart>
      <c:valAx>
        <c:axId val="96137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Costs ($000)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&quot;$&quot;#,##0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39904"/>
        <c:crosses val="autoZero"/>
        <c:crossBetween val="midCat"/>
      </c:valAx>
      <c:valAx>
        <c:axId val="9613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Benefits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37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DER, Benefit Cost Ratio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Analysis!$AN$14:$AN$15</c:f>
              <c:strCache>
                <c:ptCount val="2"/>
                <c:pt idx="0">
                  <c:v>B3 - Placard compliance enforcement</c:v>
                </c:pt>
                <c:pt idx="1">
                  <c:v>P2 - Inspect DER installations for islanding issues</c:v>
                </c:pt>
              </c:strCache>
            </c:strRef>
          </c:cat>
          <c:val>
            <c:numRef>
              <c:f>Analysis!$AM$14:$AM$15</c:f>
              <c:numCache>
                <c:formatCode>General</c:formatCode>
                <c:ptCount val="2"/>
                <c:pt idx="0">
                  <c:v>14.134107015181581</c:v>
                </c:pt>
                <c:pt idx="1">
                  <c:v>2.1746857142857161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C3-48A5-8D7C-E6A907FE797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66594432"/>
        <c:axId val="220967680"/>
      </c:barChart>
      <c:catAx>
        <c:axId val="16659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967680"/>
        <c:crosses val="autoZero"/>
        <c:auto val="1"/>
        <c:lblAlgn val="ctr"/>
        <c:lblOffset val="100"/>
        <c:noMultiLvlLbl val="0"/>
      </c:catAx>
      <c:valAx>
        <c:axId val="220967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Benefit/Cost Ratio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594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57B9011-0517-462B-9457-0FC447E70E99}" type="doc">
      <dgm:prSet loTypeId="urn:microsoft.com/office/officeart/2005/8/layout/pyramid3" loCatId="pyramid" qsTypeId="urn:microsoft.com/office/officeart/2005/8/quickstyle/simple1" qsCatId="simple" csTypeId="urn:microsoft.com/office/officeart/2005/8/colors/accent1_2" csCatId="accent1" phldr="1"/>
      <dgm:spPr/>
    </dgm:pt>
    <dgm:pt modelId="{46E17026-08B3-4454-993C-FFE8621CA05D}">
      <dgm:prSet phldrT="[Text]" custT="1"/>
      <dgm:spPr>
        <a:solidFill>
          <a:srgbClr val="FFFF00"/>
        </a:solidFill>
      </dgm:spPr>
      <dgm:t>
        <a:bodyPr/>
        <a:lstStyle/>
        <a:p>
          <a:r>
            <a:rPr lang="en-US" sz="1600"/>
            <a:t>Structure Fire Responses</a:t>
          </a:r>
        </a:p>
      </dgm:t>
    </dgm:pt>
    <dgm:pt modelId="{AD6D41B4-DFA6-4405-818E-03A2E3FE7159}" type="parTrans" cxnId="{0C7DFF02-8E61-4B48-AF84-04A2560D18BF}">
      <dgm:prSet/>
      <dgm:spPr/>
      <dgm:t>
        <a:bodyPr/>
        <a:lstStyle/>
        <a:p>
          <a:endParaRPr lang="en-US" sz="1000"/>
        </a:p>
      </dgm:t>
    </dgm:pt>
    <dgm:pt modelId="{90E55BF5-07BD-4BD1-866F-0699651BF9EF}" type="sibTrans" cxnId="{0C7DFF02-8E61-4B48-AF84-04A2560D18BF}">
      <dgm:prSet/>
      <dgm:spPr/>
      <dgm:t>
        <a:bodyPr/>
        <a:lstStyle/>
        <a:p>
          <a:endParaRPr lang="en-US" sz="1000"/>
        </a:p>
      </dgm:t>
    </dgm:pt>
    <dgm:pt modelId="{C37E1D77-9BE3-4E8A-9719-4955B6210485}">
      <dgm:prSet phldrT="[Text]" custT="1"/>
      <dgm:spPr>
        <a:solidFill>
          <a:srgbClr val="00B050"/>
        </a:solidFill>
      </dgm:spPr>
      <dgm:t>
        <a:bodyPr/>
        <a:lstStyle/>
        <a:p>
          <a:r>
            <a:rPr lang="en-US" sz="1100"/>
            <a:t>Responses to premises with rogue DER</a:t>
          </a:r>
        </a:p>
      </dgm:t>
    </dgm:pt>
    <dgm:pt modelId="{1C664AA5-B0C5-4AFB-8544-1F32A0580651}" type="parTrans" cxnId="{01DFBD2E-9F1A-45EC-9F1A-4CF2B1601B62}">
      <dgm:prSet/>
      <dgm:spPr/>
      <dgm:t>
        <a:bodyPr/>
        <a:lstStyle/>
        <a:p>
          <a:endParaRPr lang="en-US" sz="1000"/>
        </a:p>
      </dgm:t>
    </dgm:pt>
    <dgm:pt modelId="{CD2C47B1-4F70-4FB3-A31B-7C1A38057EE8}" type="sibTrans" cxnId="{01DFBD2E-9F1A-45EC-9F1A-4CF2B1601B62}">
      <dgm:prSet/>
      <dgm:spPr/>
      <dgm:t>
        <a:bodyPr/>
        <a:lstStyle/>
        <a:p>
          <a:endParaRPr lang="en-US" sz="1000"/>
        </a:p>
      </dgm:t>
    </dgm:pt>
    <dgm:pt modelId="{55E97D0C-9819-4EE0-A3F9-597E6EDC2ED6}">
      <dgm:prSet phldrT="[Text]" custT="1"/>
      <dgm:spPr>
        <a:solidFill>
          <a:srgbClr val="0070C0"/>
        </a:solidFill>
      </dgm:spPr>
      <dgm:t>
        <a:bodyPr/>
        <a:lstStyle/>
        <a:p>
          <a:r>
            <a:rPr lang="en-US" sz="1100"/>
            <a:t>Injuries due to rogue DER</a:t>
          </a:r>
        </a:p>
      </dgm:t>
    </dgm:pt>
    <dgm:pt modelId="{061EE113-3AF9-4316-A70F-A00DAD186D56}" type="parTrans" cxnId="{B4EE9D39-6CF7-42C5-8BA5-84F035E67723}">
      <dgm:prSet/>
      <dgm:spPr/>
      <dgm:t>
        <a:bodyPr/>
        <a:lstStyle/>
        <a:p>
          <a:endParaRPr lang="en-US" sz="1000"/>
        </a:p>
      </dgm:t>
    </dgm:pt>
    <dgm:pt modelId="{FB96E47B-237E-4408-AA80-F3175948D3E9}" type="sibTrans" cxnId="{B4EE9D39-6CF7-42C5-8BA5-84F035E67723}">
      <dgm:prSet/>
      <dgm:spPr/>
      <dgm:t>
        <a:bodyPr/>
        <a:lstStyle/>
        <a:p>
          <a:endParaRPr lang="en-US" sz="1000"/>
        </a:p>
      </dgm:t>
    </dgm:pt>
    <dgm:pt modelId="{A6D01A4A-DF36-45A8-88C8-57C44624ED42}">
      <dgm:prSet phldrT="[Text]" custT="1"/>
      <dgm:spPr>
        <a:noFill/>
        <a:ln>
          <a:noFill/>
        </a:ln>
      </dgm:spPr>
      <dgm:t>
        <a:bodyPr/>
        <a:lstStyle/>
        <a:p>
          <a:endParaRPr lang="en-US" sz="1050"/>
        </a:p>
      </dgm:t>
    </dgm:pt>
    <dgm:pt modelId="{43782FB8-D84B-423F-9583-86E7CB795B84}" type="parTrans" cxnId="{AEE8CF9E-A433-4771-8BC9-CD2168D87EAA}">
      <dgm:prSet/>
      <dgm:spPr/>
      <dgm:t>
        <a:bodyPr/>
        <a:lstStyle/>
        <a:p>
          <a:endParaRPr lang="en-US" sz="1200"/>
        </a:p>
      </dgm:t>
    </dgm:pt>
    <dgm:pt modelId="{6983C98B-3EEB-447B-BE49-974729846E09}" type="sibTrans" cxnId="{AEE8CF9E-A433-4771-8BC9-CD2168D87EAA}">
      <dgm:prSet/>
      <dgm:spPr/>
      <dgm:t>
        <a:bodyPr/>
        <a:lstStyle/>
        <a:p>
          <a:endParaRPr lang="en-US" sz="1200"/>
        </a:p>
      </dgm:t>
    </dgm:pt>
    <dgm:pt modelId="{4D4DB8A8-AD25-47D4-BE66-DDC4FB93DCA0}" type="pres">
      <dgm:prSet presAssocID="{357B9011-0517-462B-9457-0FC447E70E99}" presName="Name0" presStyleCnt="0">
        <dgm:presLayoutVars>
          <dgm:dir/>
          <dgm:animLvl val="lvl"/>
          <dgm:resizeHandles val="exact"/>
        </dgm:presLayoutVars>
      </dgm:prSet>
      <dgm:spPr/>
    </dgm:pt>
    <dgm:pt modelId="{50CF63A2-4227-453E-B533-A6EE206EA74C}" type="pres">
      <dgm:prSet presAssocID="{46E17026-08B3-4454-993C-FFE8621CA05D}" presName="Name8" presStyleCnt="0"/>
      <dgm:spPr/>
    </dgm:pt>
    <dgm:pt modelId="{4A7A175E-C58C-4202-A8FA-28D5910DB177}" type="pres">
      <dgm:prSet presAssocID="{46E17026-08B3-4454-993C-FFE8621CA05D}" presName="level" presStyleLbl="node1" presStyleIdx="0" presStyleCnt="4" custLinFactNeighborY="-7905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78DFED0-4E7D-4A77-8D55-EDD5688AAFD2}" type="pres">
      <dgm:prSet presAssocID="{46E17026-08B3-4454-993C-FFE8621CA05D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5B17081-788F-4582-9920-439FD0C5C58A}" type="pres">
      <dgm:prSet presAssocID="{C37E1D77-9BE3-4E8A-9719-4955B6210485}" presName="Name8" presStyleCnt="0"/>
      <dgm:spPr/>
    </dgm:pt>
    <dgm:pt modelId="{5C321C55-6A0E-4186-B5CC-C32C77358CAF}" type="pres">
      <dgm:prSet presAssocID="{C37E1D77-9BE3-4E8A-9719-4955B6210485}" presName="level" presStyleLbl="node1" presStyleIdx="1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16BA830D-6EE1-481A-BF59-B1B0B4E7EFB0}" type="pres">
      <dgm:prSet presAssocID="{C37E1D77-9BE3-4E8A-9719-4955B6210485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5FC677D8-088B-4C5F-A46F-A7FE4F5D8F63}" type="pres">
      <dgm:prSet presAssocID="{55E97D0C-9819-4EE0-A3F9-597E6EDC2ED6}" presName="Name8" presStyleCnt="0"/>
      <dgm:spPr/>
    </dgm:pt>
    <dgm:pt modelId="{68E9BDBA-85E7-4AFD-8184-E437567097B8}" type="pres">
      <dgm:prSet presAssocID="{55E97D0C-9819-4EE0-A3F9-597E6EDC2ED6}" presName="level" presStyleLbl="node1" presStyleIdx="2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0D5C8DE-F4EA-44FF-BCC5-70D1DDE89731}" type="pres">
      <dgm:prSet presAssocID="{55E97D0C-9819-4EE0-A3F9-597E6EDC2ED6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2FCF8994-DB17-408B-8C0B-CEDB28809DF8}" type="pres">
      <dgm:prSet presAssocID="{A6D01A4A-DF36-45A8-88C8-57C44624ED42}" presName="Name8" presStyleCnt="0"/>
      <dgm:spPr/>
    </dgm:pt>
    <dgm:pt modelId="{8EC7F838-CF02-4956-9FBC-215D3AC0AB90}" type="pres">
      <dgm:prSet presAssocID="{A6D01A4A-DF36-45A8-88C8-57C44624ED42}" presName="level" presStyleLbl="node1" presStyleIdx="3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B1264B2-2CD9-44D0-862F-346B1F16F147}" type="pres">
      <dgm:prSet presAssocID="{A6D01A4A-DF36-45A8-88C8-57C44624ED42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77771588-D6F3-4388-B21B-905E5C1F4ACB}" type="presOf" srcId="{55E97D0C-9819-4EE0-A3F9-597E6EDC2ED6}" destId="{80D5C8DE-F4EA-44FF-BCC5-70D1DDE89731}" srcOrd="1" destOrd="0" presId="urn:microsoft.com/office/officeart/2005/8/layout/pyramid3"/>
    <dgm:cxn modelId="{5BE861AD-518B-4498-AF99-8E267809A3E0}" type="presOf" srcId="{C37E1D77-9BE3-4E8A-9719-4955B6210485}" destId="{5C321C55-6A0E-4186-B5CC-C32C77358CAF}" srcOrd="0" destOrd="0" presId="urn:microsoft.com/office/officeart/2005/8/layout/pyramid3"/>
    <dgm:cxn modelId="{C5C326EB-9B63-4E54-86F2-3B8C34E4FB9C}" type="presOf" srcId="{55E97D0C-9819-4EE0-A3F9-597E6EDC2ED6}" destId="{68E9BDBA-85E7-4AFD-8184-E437567097B8}" srcOrd="0" destOrd="0" presId="urn:microsoft.com/office/officeart/2005/8/layout/pyramid3"/>
    <dgm:cxn modelId="{AEE8CF9E-A433-4771-8BC9-CD2168D87EAA}" srcId="{357B9011-0517-462B-9457-0FC447E70E99}" destId="{A6D01A4A-DF36-45A8-88C8-57C44624ED42}" srcOrd="3" destOrd="0" parTransId="{43782FB8-D84B-423F-9583-86E7CB795B84}" sibTransId="{6983C98B-3EEB-447B-BE49-974729846E09}"/>
    <dgm:cxn modelId="{29B504BB-D6D5-4DC8-9CA3-34E7832115FF}" type="presOf" srcId="{46E17026-08B3-4454-993C-FFE8621CA05D}" destId="{D78DFED0-4E7D-4A77-8D55-EDD5688AAFD2}" srcOrd="1" destOrd="0" presId="urn:microsoft.com/office/officeart/2005/8/layout/pyramid3"/>
    <dgm:cxn modelId="{248C9BBA-B550-4F9D-B32E-906EC76103B7}" type="presOf" srcId="{357B9011-0517-462B-9457-0FC447E70E99}" destId="{4D4DB8A8-AD25-47D4-BE66-DDC4FB93DCA0}" srcOrd="0" destOrd="0" presId="urn:microsoft.com/office/officeart/2005/8/layout/pyramid3"/>
    <dgm:cxn modelId="{F169156B-482E-4430-8C73-3EE129F70172}" type="presOf" srcId="{A6D01A4A-DF36-45A8-88C8-57C44624ED42}" destId="{BB1264B2-2CD9-44D0-862F-346B1F16F147}" srcOrd="1" destOrd="0" presId="urn:microsoft.com/office/officeart/2005/8/layout/pyramid3"/>
    <dgm:cxn modelId="{FAC0CEA0-931A-4D3C-B494-6629BB1353C5}" type="presOf" srcId="{46E17026-08B3-4454-993C-FFE8621CA05D}" destId="{4A7A175E-C58C-4202-A8FA-28D5910DB177}" srcOrd="0" destOrd="0" presId="urn:microsoft.com/office/officeart/2005/8/layout/pyramid3"/>
    <dgm:cxn modelId="{0C7DFF02-8E61-4B48-AF84-04A2560D18BF}" srcId="{357B9011-0517-462B-9457-0FC447E70E99}" destId="{46E17026-08B3-4454-993C-FFE8621CA05D}" srcOrd="0" destOrd="0" parTransId="{AD6D41B4-DFA6-4405-818E-03A2E3FE7159}" sibTransId="{90E55BF5-07BD-4BD1-866F-0699651BF9EF}"/>
    <dgm:cxn modelId="{B4EE9D39-6CF7-42C5-8BA5-84F035E67723}" srcId="{357B9011-0517-462B-9457-0FC447E70E99}" destId="{55E97D0C-9819-4EE0-A3F9-597E6EDC2ED6}" srcOrd="2" destOrd="0" parTransId="{061EE113-3AF9-4316-A70F-A00DAD186D56}" sibTransId="{FB96E47B-237E-4408-AA80-F3175948D3E9}"/>
    <dgm:cxn modelId="{F121BEE7-A838-4983-8A87-E15B9E0C9660}" type="presOf" srcId="{A6D01A4A-DF36-45A8-88C8-57C44624ED42}" destId="{8EC7F838-CF02-4956-9FBC-215D3AC0AB90}" srcOrd="0" destOrd="0" presId="urn:microsoft.com/office/officeart/2005/8/layout/pyramid3"/>
    <dgm:cxn modelId="{01DFBD2E-9F1A-45EC-9F1A-4CF2B1601B62}" srcId="{357B9011-0517-462B-9457-0FC447E70E99}" destId="{C37E1D77-9BE3-4E8A-9719-4955B6210485}" srcOrd="1" destOrd="0" parTransId="{1C664AA5-B0C5-4AFB-8544-1F32A0580651}" sibTransId="{CD2C47B1-4F70-4FB3-A31B-7C1A38057EE8}"/>
    <dgm:cxn modelId="{9A9BBD2A-B220-4466-A69A-4120E9EDFF01}" type="presOf" srcId="{C37E1D77-9BE3-4E8A-9719-4955B6210485}" destId="{16BA830D-6EE1-481A-BF59-B1B0B4E7EFB0}" srcOrd="1" destOrd="0" presId="urn:microsoft.com/office/officeart/2005/8/layout/pyramid3"/>
    <dgm:cxn modelId="{69CAE040-A4F3-46D1-858A-9BD8FB70C8FF}" type="presParOf" srcId="{4D4DB8A8-AD25-47D4-BE66-DDC4FB93DCA0}" destId="{50CF63A2-4227-453E-B533-A6EE206EA74C}" srcOrd="0" destOrd="0" presId="urn:microsoft.com/office/officeart/2005/8/layout/pyramid3"/>
    <dgm:cxn modelId="{855800A5-40EC-4E11-B357-503C8566F717}" type="presParOf" srcId="{50CF63A2-4227-453E-B533-A6EE206EA74C}" destId="{4A7A175E-C58C-4202-A8FA-28D5910DB177}" srcOrd="0" destOrd="0" presId="urn:microsoft.com/office/officeart/2005/8/layout/pyramid3"/>
    <dgm:cxn modelId="{1FDCFF7D-3542-473D-A449-3C4046587938}" type="presParOf" srcId="{50CF63A2-4227-453E-B533-A6EE206EA74C}" destId="{D78DFED0-4E7D-4A77-8D55-EDD5688AAFD2}" srcOrd="1" destOrd="0" presId="urn:microsoft.com/office/officeart/2005/8/layout/pyramid3"/>
    <dgm:cxn modelId="{A76BAF2C-10E1-4FC7-AC4D-634F1D0686A9}" type="presParOf" srcId="{4D4DB8A8-AD25-47D4-BE66-DDC4FB93DCA0}" destId="{B5B17081-788F-4582-9920-439FD0C5C58A}" srcOrd="1" destOrd="0" presId="urn:microsoft.com/office/officeart/2005/8/layout/pyramid3"/>
    <dgm:cxn modelId="{1B53FD71-4452-4A25-A558-8E5DF19F3762}" type="presParOf" srcId="{B5B17081-788F-4582-9920-439FD0C5C58A}" destId="{5C321C55-6A0E-4186-B5CC-C32C77358CAF}" srcOrd="0" destOrd="0" presId="urn:microsoft.com/office/officeart/2005/8/layout/pyramid3"/>
    <dgm:cxn modelId="{5BCAA7B6-C225-4CFF-880F-4D698480D875}" type="presParOf" srcId="{B5B17081-788F-4582-9920-439FD0C5C58A}" destId="{16BA830D-6EE1-481A-BF59-B1B0B4E7EFB0}" srcOrd="1" destOrd="0" presId="urn:microsoft.com/office/officeart/2005/8/layout/pyramid3"/>
    <dgm:cxn modelId="{47F5CA2C-BEF1-4050-A291-868E3AD11BE0}" type="presParOf" srcId="{4D4DB8A8-AD25-47D4-BE66-DDC4FB93DCA0}" destId="{5FC677D8-088B-4C5F-A46F-A7FE4F5D8F63}" srcOrd="2" destOrd="0" presId="urn:microsoft.com/office/officeart/2005/8/layout/pyramid3"/>
    <dgm:cxn modelId="{E52D28BA-D2E2-4FC8-9633-2AE592840A88}" type="presParOf" srcId="{5FC677D8-088B-4C5F-A46F-A7FE4F5D8F63}" destId="{68E9BDBA-85E7-4AFD-8184-E437567097B8}" srcOrd="0" destOrd="0" presId="urn:microsoft.com/office/officeart/2005/8/layout/pyramid3"/>
    <dgm:cxn modelId="{036D7D98-8184-4584-BBA4-F4398265DFE0}" type="presParOf" srcId="{5FC677D8-088B-4C5F-A46F-A7FE4F5D8F63}" destId="{80D5C8DE-F4EA-44FF-BCC5-70D1DDE89731}" srcOrd="1" destOrd="0" presId="urn:microsoft.com/office/officeart/2005/8/layout/pyramid3"/>
    <dgm:cxn modelId="{DD7CEE05-FEF3-4BA2-86C8-2804DAC24EC4}" type="presParOf" srcId="{4D4DB8A8-AD25-47D4-BE66-DDC4FB93DCA0}" destId="{2FCF8994-DB17-408B-8C0B-CEDB28809DF8}" srcOrd="3" destOrd="0" presId="urn:microsoft.com/office/officeart/2005/8/layout/pyramid3"/>
    <dgm:cxn modelId="{B399C630-31C4-4D8D-B1EE-9A85E991E126}" type="presParOf" srcId="{2FCF8994-DB17-408B-8C0B-CEDB28809DF8}" destId="{8EC7F838-CF02-4956-9FBC-215D3AC0AB90}" srcOrd="0" destOrd="0" presId="urn:microsoft.com/office/officeart/2005/8/layout/pyramid3"/>
    <dgm:cxn modelId="{E380A75C-E8BE-4CC3-A646-79953F31BC24}" type="presParOf" srcId="{2FCF8994-DB17-408B-8C0B-CEDB28809DF8}" destId="{BB1264B2-2CD9-44D0-862F-346B1F16F147}" srcOrd="1" destOrd="0" presId="urn:microsoft.com/office/officeart/2005/8/layout/pyramid3"/>
  </dgm:cxnLst>
  <dgm:bg/>
  <dgm:whole>
    <a:ln>
      <a:noFill/>
    </a:ln>
  </dgm:whole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357B9011-0517-462B-9457-0FC447E70E99}" type="doc">
      <dgm:prSet loTypeId="urn:microsoft.com/office/officeart/2005/8/layout/pyramid3" loCatId="pyramid" qsTypeId="urn:microsoft.com/office/officeart/2005/8/quickstyle/simple1" qsCatId="simple" csTypeId="urn:microsoft.com/office/officeart/2005/8/colors/accent1_2" csCatId="accent1" phldr="1"/>
      <dgm:spPr/>
    </dgm:pt>
    <dgm:pt modelId="{46E17026-08B3-4454-993C-FFE8621CA05D}">
      <dgm:prSet phldrT="[Text]" custT="1"/>
      <dgm:spPr>
        <a:solidFill>
          <a:srgbClr val="FFFF00"/>
        </a:solidFill>
      </dgm:spPr>
      <dgm:t>
        <a:bodyPr/>
        <a:lstStyle/>
        <a:p>
          <a:r>
            <a:rPr lang="en-US" sz="1400"/>
            <a:t>Annual Sustained Outage Events</a:t>
          </a:r>
          <a:endParaRPr lang="en-US" sz="1600"/>
        </a:p>
      </dgm:t>
    </dgm:pt>
    <dgm:pt modelId="{AD6D41B4-DFA6-4405-818E-03A2E3FE7159}" type="parTrans" cxnId="{0C7DFF02-8E61-4B48-AF84-04A2560D18BF}">
      <dgm:prSet/>
      <dgm:spPr/>
      <dgm:t>
        <a:bodyPr/>
        <a:lstStyle/>
        <a:p>
          <a:endParaRPr lang="en-US" sz="1000"/>
        </a:p>
      </dgm:t>
    </dgm:pt>
    <dgm:pt modelId="{90E55BF5-07BD-4BD1-866F-0699651BF9EF}" type="sibTrans" cxnId="{0C7DFF02-8E61-4B48-AF84-04A2560D18BF}">
      <dgm:prSet/>
      <dgm:spPr/>
      <dgm:t>
        <a:bodyPr/>
        <a:lstStyle/>
        <a:p>
          <a:endParaRPr lang="en-US" sz="1000"/>
        </a:p>
      </dgm:t>
    </dgm:pt>
    <dgm:pt modelId="{C37E1D77-9BE3-4E8A-9719-4955B6210485}">
      <dgm:prSet phldrT="[Text]" custT="1"/>
      <dgm:spPr>
        <a:solidFill>
          <a:srgbClr val="00B050"/>
        </a:solidFill>
      </dgm:spPr>
      <dgm:t>
        <a:bodyPr/>
        <a:lstStyle/>
        <a:p>
          <a:r>
            <a:rPr lang="en-US" sz="1100"/>
            <a:t>Islanding Events</a:t>
          </a:r>
        </a:p>
      </dgm:t>
    </dgm:pt>
    <dgm:pt modelId="{1C664AA5-B0C5-4AFB-8544-1F32A0580651}" type="parTrans" cxnId="{01DFBD2E-9F1A-45EC-9F1A-4CF2B1601B62}">
      <dgm:prSet/>
      <dgm:spPr/>
      <dgm:t>
        <a:bodyPr/>
        <a:lstStyle/>
        <a:p>
          <a:endParaRPr lang="en-US" sz="1000"/>
        </a:p>
      </dgm:t>
    </dgm:pt>
    <dgm:pt modelId="{CD2C47B1-4F70-4FB3-A31B-7C1A38057EE8}" type="sibTrans" cxnId="{01DFBD2E-9F1A-45EC-9F1A-4CF2B1601B62}">
      <dgm:prSet/>
      <dgm:spPr/>
      <dgm:t>
        <a:bodyPr/>
        <a:lstStyle/>
        <a:p>
          <a:endParaRPr lang="en-US" sz="1000"/>
        </a:p>
      </dgm:t>
    </dgm:pt>
    <dgm:pt modelId="{55E97D0C-9819-4EE0-A3F9-597E6EDC2ED6}">
      <dgm:prSet phldrT="[Text]" custT="1"/>
      <dgm:spPr>
        <a:solidFill>
          <a:srgbClr val="0070C0"/>
        </a:solidFill>
      </dgm:spPr>
      <dgm:t>
        <a:bodyPr/>
        <a:lstStyle/>
        <a:p>
          <a:r>
            <a:rPr lang="en-US" sz="1100"/>
            <a:t>Injuries due to rogue DER</a:t>
          </a:r>
        </a:p>
      </dgm:t>
    </dgm:pt>
    <dgm:pt modelId="{061EE113-3AF9-4316-A70F-A00DAD186D56}" type="parTrans" cxnId="{B4EE9D39-6CF7-42C5-8BA5-84F035E67723}">
      <dgm:prSet/>
      <dgm:spPr/>
      <dgm:t>
        <a:bodyPr/>
        <a:lstStyle/>
        <a:p>
          <a:endParaRPr lang="en-US" sz="1000"/>
        </a:p>
      </dgm:t>
    </dgm:pt>
    <dgm:pt modelId="{FB96E47B-237E-4408-AA80-F3175948D3E9}" type="sibTrans" cxnId="{B4EE9D39-6CF7-42C5-8BA5-84F035E67723}">
      <dgm:prSet/>
      <dgm:spPr/>
      <dgm:t>
        <a:bodyPr/>
        <a:lstStyle/>
        <a:p>
          <a:endParaRPr lang="en-US" sz="1000"/>
        </a:p>
      </dgm:t>
    </dgm:pt>
    <dgm:pt modelId="{A6D01A4A-DF36-45A8-88C8-57C44624ED42}">
      <dgm:prSet phldrT="[Text]" custT="1"/>
      <dgm:spPr>
        <a:noFill/>
        <a:ln>
          <a:noFill/>
        </a:ln>
      </dgm:spPr>
      <dgm:t>
        <a:bodyPr/>
        <a:lstStyle/>
        <a:p>
          <a:endParaRPr lang="en-US" sz="1050"/>
        </a:p>
      </dgm:t>
    </dgm:pt>
    <dgm:pt modelId="{43782FB8-D84B-423F-9583-86E7CB795B84}" type="parTrans" cxnId="{AEE8CF9E-A433-4771-8BC9-CD2168D87EAA}">
      <dgm:prSet/>
      <dgm:spPr/>
      <dgm:t>
        <a:bodyPr/>
        <a:lstStyle/>
        <a:p>
          <a:endParaRPr lang="en-US" sz="1200"/>
        </a:p>
      </dgm:t>
    </dgm:pt>
    <dgm:pt modelId="{6983C98B-3EEB-447B-BE49-974729846E09}" type="sibTrans" cxnId="{AEE8CF9E-A433-4771-8BC9-CD2168D87EAA}">
      <dgm:prSet/>
      <dgm:spPr/>
      <dgm:t>
        <a:bodyPr/>
        <a:lstStyle/>
        <a:p>
          <a:endParaRPr lang="en-US" sz="1200"/>
        </a:p>
      </dgm:t>
    </dgm:pt>
    <dgm:pt modelId="{4D4DB8A8-AD25-47D4-BE66-DDC4FB93DCA0}" type="pres">
      <dgm:prSet presAssocID="{357B9011-0517-462B-9457-0FC447E70E99}" presName="Name0" presStyleCnt="0">
        <dgm:presLayoutVars>
          <dgm:dir/>
          <dgm:animLvl val="lvl"/>
          <dgm:resizeHandles val="exact"/>
        </dgm:presLayoutVars>
      </dgm:prSet>
      <dgm:spPr/>
    </dgm:pt>
    <dgm:pt modelId="{50CF63A2-4227-453E-B533-A6EE206EA74C}" type="pres">
      <dgm:prSet presAssocID="{46E17026-08B3-4454-993C-FFE8621CA05D}" presName="Name8" presStyleCnt="0"/>
      <dgm:spPr/>
    </dgm:pt>
    <dgm:pt modelId="{4A7A175E-C58C-4202-A8FA-28D5910DB177}" type="pres">
      <dgm:prSet presAssocID="{46E17026-08B3-4454-993C-FFE8621CA05D}" presName="level" presStyleLbl="node1" presStyleIdx="0" presStyleCnt="4" custLinFactNeighborY="-7905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78DFED0-4E7D-4A77-8D55-EDD5688AAFD2}" type="pres">
      <dgm:prSet presAssocID="{46E17026-08B3-4454-993C-FFE8621CA05D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5B17081-788F-4582-9920-439FD0C5C58A}" type="pres">
      <dgm:prSet presAssocID="{C37E1D77-9BE3-4E8A-9719-4955B6210485}" presName="Name8" presStyleCnt="0"/>
      <dgm:spPr/>
    </dgm:pt>
    <dgm:pt modelId="{5C321C55-6A0E-4186-B5CC-C32C77358CAF}" type="pres">
      <dgm:prSet presAssocID="{C37E1D77-9BE3-4E8A-9719-4955B6210485}" presName="level" presStyleLbl="node1" presStyleIdx="1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16BA830D-6EE1-481A-BF59-B1B0B4E7EFB0}" type="pres">
      <dgm:prSet presAssocID="{C37E1D77-9BE3-4E8A-9719-4955B6210485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5FC677D8-088B-4C5F-A46F-A7FE4F5D8F63}" type="pres">
      <dgm:prSet presAssocID="{55E97D0C-9819-4EE0-A3F9-597E6EDC2ED6}" presName="Name8" presStyleCnt="0"/>
      <dgm:spPr/>
    </dgm:pt>
    <dgm:pt modelId="{68E9BDBA-85E7-4AFD-8184-E437567097B8}" type="pres">
      <dgm:prSet presAssocID="{55E97D0C-9819-4EE0-A3F9-597E6EDC2ED6}" presName="level" presStyleLbl="node1" presStyleIdx="2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0D5C8DE-F4EA-44FF-BCC5-70D1DDE89731}" type="pres">
      <dgm:prSet presAssocID="{55E97D0C-9819-4EE0-A3F9-597E6EDC2ED6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2FCF8994-DB17-408B-8C0B-CEDB28809DF8}" type="pres">
      <dgm:prSet presAssocID="{A6D01A4A-DF36-45A8-88C8-57C44624ED42}" presName="Name8" presStyleCnt="0"/>
      <dgm:spPr/>
    </dgm:pt>
    <dgm:pt modelId="{8EC7F838-CF02-4956-9FBC-215D3AC0AB90}" type="pres">
      <dgm:prSet presAssocID="{A6D01A4A-DF36-45A8-88C8-57C44624ED42}" presName="level" presStyleLbl="node1" presStyleIdx="3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B1264B2-2CD9-44D0-862F-346B1F16F147}" type="pres">
      <dgm:prSet presAssocID="{A6D01A4A-DF36-45A8-88C8-57C44624ED42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77771588-D6F3-4388-B21B-905E5C1F4ACB}" type="presOf" srcId="{55E97D0C-9819-4EE0-A3F9-597E6EDC2ED6}" destId="{80D5C8DE-F4EA-44FF-BCC5-70D1DDE89731}" srcOrd="1" destOrd="0" presId="urn:microsoft.com/office/officeart/2005/8/layout/pyramid3"/>
    <dgm:cxn modelId="{5BE861AD-518B-4498-AF99-8E267809A3E0}" type="presOf" srcId="{C37E1D77-9BE3-4E8A-9719-4955B6210485}" destId="{5C321C55-6A0E-4186-B5CC-C32C77358CAF}" srcOrd="0" destOrd="0" presId="urn:microsoft.com/office/officeart/2005/8/layout/pyramid3"/>
    <dgm:cxn modelId="{C5C326EB-9B63-4E54-86F2-3B8C34E4FB9C}" type="presOf" srcId="{55E97D0C-9819-4EE0-A3F9-597E6EDC2ED6}" destId="{68E9BDBA-85E7-4AFD-8184-E437567097B8}" srcOrd="0" destOrd="0" presId="urn:microsoft.com/office/officeart/2005/8/layout/pyramid3"/>
    <dgm:cxn modelId="{AEE8CF9E-A433-4771-8BC9-CD2168D87EAA}" srcId="{357B9011-0517-462B-9457-0FC447E70E99}" destId="{A6D01A4A-DF36-45A8-88C8-57C44624ED42}" srcOrd="3" destOrd="0" parTransId="{43782FB8-D84B-423F-9583-86E7CB795B84}" sibTransId="{6983C98B-3EEB-447B-BE49-974729846E09}"/>
    <dgm:cxn modelId="{29B504BB-D6D5-4DC8-9CA3-34E7832115FF}" type="presOf" srcId="{46E17026-08B3-4454-993C-FFE8621CA05D}" destId="{D78DFED0-4E7D-4A77-8D55-EDD5688AAFD2}" srcOrd="1" destOrd="0" presId="urn:microsoft.com/office/officeart/2005/8/layout/pyramid3"/>
    <dgm:cxn modelId="{248C9BBA-B550-4F9D-B32E-906EC76103B7}" type="presOf" srcId="{357B9011-0517-462B-9457-0FC447E70E99}" destId="{4D4DB8A8-AD25-47D4-BE66-DDC4FB93DCA0}" srcOrd="0" destOrd="0" presId="urn:microsoft.com/office/officeart/2005/8/layout/pyramid3"/>
    <dgm:cxn modelId="{F169156B-482E-4430-8C73-3EE129F70172}" type="presOf" srcId="{A6D01A4A-DF36-45A8-88C8-57C44624ED42}" destId="{BB1264B2-2CD9-44D0-862F-346B1F16F147}" srcOrd="1" destOrd="0" presId="urn:microsoft.com/office/officeart/2005/8/layout/pyramid3"/>
    <dgm:cxn modelId="{FAC0CEA0-931A-4D3C-B494-6629BB1353C5}" type="presOf" srcId="{46E17026-08B3-4454-993C-FFE8621CA05D}" destId="{4A7A175E-C58C-4202-A8FA-28D5910DB177}" srcOrd="0" destOrd="0" presId="urn:microsoft.com/office/officeart/2005/8/layout/pyramid3"/>
    <dgm:cxn modelId="{0C7DFF02-8E61-4B48-AF84-04A2560D18BF}" srcId="{357B9011-0517-462B-9457-0FC447E70E99}" destId="{46E17026-08B3-4454-993C-FFE8621CA05D}" srcOrd="0" destOrd="0" parTransId="{AD6D41B4-DFA6-4405-818E-03A2E3FE7159}" sibTransId="{90E55BF5-07BD-4BD1-866F-0699651BF9EF}"/>
    <dgm:cxn modelId="{B4EE9D39-6CF7-42C5-8BA5-84F035E67723}" srcId="{357B9011-0517-462B-9457-0FC447E70E99}" destId="{55E97D0C-9819-4EE0-A3F9-597E6EDC2ED6}" srcOrd="2" destOrd="0" parTransId="{061EE113-3AF9-4316-A70F-A00DAD186D56}" sibTransId="{FB96E47B-237E-4408-AA80-F3175948D3E9}"/>
    <dgm:cxn modelId="{F121BEE7-A838-4983-8A87-E15B9E0C9660}" type="presOf" srcId="{A6D01A4A-DF36-45A8-88C8-57C44624ED42}" destId="{8EC7F838-CF02-4956-9FBC-215D3AC0AB90}" srcOrd="0" destOrd="0" presId="urn:microsoft.com/office/officeart/2005/8/layout/pyramid3"/>
    <dgm:cxn modelId="{01DFBD2E-9F1A-45EC-9F1A-4CF2B1601B62}" srcId="{357B9011-0517-462B-9457-0FC447E70E99}" destId="{C37E1D77-9BE3-4E8A-9719-4955B6210485}" srcOrd="1" destOrd="0" parTransId="{1C664AA5-B0C5-4AFB-8544-1F32A0580651}" sibTransId="{CD2C47B1-4F70-4FB3-A31B-7C1A38057EE8}"/>
    <dgm:cxn modelId="{9A9BBD2A-B220-4466-A69A-4120E9EDFF01}" type="presOf" srcId="{C37E1D77-9BE3-4E8A-9719-4955B6210485}" destId="{16BA830D-6EE1-481A-BF59-B1B0B4E7EFB0}" srcOrd="1" destOrd="0" presId="urn:microsoft.com/office/officeart/2005/8/layout/pyramid3"/>
    <dgm:cxn modelId="{69CAE040-A4F3-46D1-858A-9BD8FB70C8FF}" type="presParOf" srcId="{4D4DB8A8-AD25-47D4-BE66-DDC4FB93DCA0}" destId="{50CF63A2-4227-453E-B533-A6EE206EA74C}" srcOrd="0" destOrd="0" presId="urn:microsoft.com/office/officeart/2005/8/layout/pyramid3"/>
    <dgm:cxn modelId="{855800A5-40EC-4E11-B357-503C8566F717}" type="presParOf" srcId="{50CF63A2-4227-453E-B533-A6EE206EA74C}" destId="{4A7A175E-C58C-4202-A8FA-28D5910DB177}" srcOrd="0" destOrd="0" presId="urn:microsoft.com/office/officeart/2005/8/layout/pyramid3"/>
    <dgm:cxn modelId="{1FDCFF7D-3542-473D-A449-3C4046587938}" type="presParOf" srcId="{50CF63A2-4227-453E-B533-A6EE206EA74C}" destId="{D78DFED0-4E7D-4A77-8D55-EDD5688AAFD2}" srcOrd="1" destOrd="0" presId="urn:microsoft.com/office/officeart/2005/8/layout/pyramid3"/>
    <dgm:cxn modelId="{A76BAF2C-10E1-4FC7-AC4D-634F1D0686A9}" type="presParOf" srcId="{4D4DB8A8-AD25-47D4-BE66-DDC4FB93DCA0}" destId="{B5B17081-788F-4582-9920-439FD0C5C58A}" srcOrd="1" destOrd="0" presId="urn:microsoft.com/office/officeart/2005/8/layout/pyramid3"/>
    <dgm:cxn modelId="{1B53FD71-4452-4A25-A558-8E5DF19F3762}" type="presParOf" srcId="{B5B17081-788F-4582-9920-439FD0C5C58A}" destId="{5C321C55-6A0E-4186-B5CC-C32C77358CAF}" srcOrd="0" destOrd="0" presId="urn:microsoft.com/office/officeart/2005/8/layout/pyramid3"/>
    <dgm:cxn modelId="{5BCAA7B6-C225-4CFF-880F-4D698480D875}" type="presParOf" srcId="{B5B17081-788F-4582-9920-439FD0C5C58A}" destId="{16BA830D-6EE1-481A-BF59-B1B0B4E7EFB0}" srcOrd="1" destOrd="0" presId="urn:microsoft.com/office/officeart/2005/8/layout/pyramid3"/>
    <dgm:cxn modelId="{47F5CA2C-BEF1-4050-A291-868E3AD11BE0}" type="presParOf" srcId="{4D4DB8A8-AD25-47D4-BE66-DDC4FB93DCA0}" destId="{5FC677D8-088B-4C5F-A46F-A7FE4F5D8F63}" srcOrd="2" destOrd="0" presId="urn:microsoft.com/office/officeart/2005/8/layout/pyramid3"/>
    <dgm:cxn modelId="{E52D28BA-D2E2-4FC8-9633-2AE592840A88}" type="presParOf" srcId="{5FC677D8-088B-4C5F-A46F-A7FE4F5D8F63}" destId="{68E9BDBA-85E7-4AFD-8184-E437567097B8}" srcOrd="0" destOrd="0" presId="urn:microsoft.com/office/officeart/2005/8/layout/pyramid3"/>
    <dgm:cxn modelId="{036D7D98-8184-4584-BBA4-F4398265DFE0}" type="presParOf" srcId="{5FC677D8-088B-4C5F-A46F-A7FE4F5D8F63}" destId="{80D5C8DE-F4EA-44FF-BCC5-70D1DDE89731}" srcOrd="1" destOrd="0" presId="urn:microsoft.com/office/officeart/2005/8/layout/pyramid3"/>
    <dgm:cxn modelId="{DD7CEE05-FEF3-4BA2-86C8-2804DAC24EC4}" type="presParOf" srcId="{4D4DB8A8-AD25-47D4-BE66-DDC4FB93DCA0}" destId="{2FCF8994-DB17-408B-8C0B-CEDB28809DF8}" srcOrd="3" destOrd="0" presId="urn:microsoft.com/office/officeart/2005/8/layout/pyramid3"/>
    <dgm:cxn modelId="{B399C630-31C4-4D8D-B1EE-9A85E991E126}" type="presParOf" srcId="{2FCF8994-DB17-408B-8C0B-CEDB28809DF8}" destId="{8EC7F838-CF02-4956-9FBC-215D3AC0AB90}" srcOrd="0" destOrd="0" presId="urn:microsoft.com/office/officeart/2005/8/layout/pyramid3"/>
    <dgm:cxn modelId="{E380A75C-E8BE-4CC3-A646-79953F31BC24}" type="presParOf" srcId="{2FCF8994-DB17-408B-8C0B-CEDB28809DF8}" destId="{BB1264B2-2CD9-44D0-862F-346B1F16F147}" srcOrd="1" destOrd="0" presId="urn:microsoft.com/office/officeart/2005/8/layout/pyramid3"/>
  </dgm:cxnLst>
  <dgm:bg/>
  <dgm:whole>
    <a:ln>
      <a:noFill/>
    </a:ln>
  </dgm:whole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357B9011-0517-462B-9457-0FC447E70E99}" type="doc">
      <dgm:prSet loTypeId="urn:microsoft.com/office/officeart/2005/8/layout/pyramid3" loCatId="pyramid" qsTypeId="urn:microsoft.com/office/officeart/2005/8/quickstyle/simple1" qsCatId="simple" csTypeId="urn:microsoft.com/office/officeart/2005/8/colors/accent1_2" csCatId="accent1" phldr="1"/>
      <dgm:spPr/>
    </dgm:pt>
    <dgm:pt modelId="{46E17026-08B3-4454-993C-FFE8621CA05D}">
      <dgm:prSet phldrT="[Text]" custT="1"/>
      <dgm:spPr>
        <a:solidFill>
          <a:srgbClr val="FFFF00"/>
        </a:solidFill>
      </dgm:spPr>
      <dgm:t>
        <a:bodyPr/>
        <a:lstStyle/>
        <a:p>
          <a:r>
            <a:rPr lang="en-US" sz="1400"/>
            <a:t>Annual Circuit Lockouts</a:t>
          </a:r>
        </a:p>
      </dgm:t>
    </dgm:pt>
    <dgm:pt modelId="{AD6D41B4-DFA6-4405-818E-03A2E3FE7159}" type="parTrans" cxnId="{0C7DFF02-8E61-4B48-AF84-04A2560D18BF}">
      <dgm:prSet/>
      <dgm:spPr/>
      <dgm:t>
        <a:bodyPr/>
        <a:lstStyle/>
        <a:p>
          <a:endParaRPr lang="en-US" sz="900"/>
        </a:p>
      </dgm:t>
    </dgm:pt>
    <dgm:pt modelId="{90E55BF5-07BD-4BD1-866F-0699651BF9EF}" type="sibTrans" cxnId="{0C7DFF02-8E61-4B48-AF84-04A2560D18BF}">
      <dgm:prSet/>
      <dgm:spPr/>
      <dgm:t>
        <a:bodyPr/>
        <a:lstStyle/>
        <a:p>
          <a:endParaRPr lang="en-US" sz="900"/>
        </a:p>
      </dgm:t>
    </dgm:pt>
    <dgm:pt modelId="{C37E1D77-9BE3-4E8A-9719-4955B6210485}">
      <dgm:prSet phldrT="[Text]" custT="1"/>
      <dgm:spPr>
        <a:solidFill>
          <a:srgbClr val="00B050"/>
        </a:solidFill>
      </dgm:spPr>
      <dgm:t>
        <a:bodyPr/>
        <a:lstStyle/>
        <a:p>
          <a:r>
            <a:rPr lang="en-US" sz="1050"/>
            <a:t>Lockouts on Circuits with excessive DER Capacity</a:t>
          </a:r>
        </a:p>
      </dgm:t>
    </dgm:pt>
    <dgm:pt modelId="{1C664AA5-B0C5-4AFB-8544-1F32A0580651}" type="parTrans" cxnId="{01DFBD2E-9F1A-45EC-9F1A-4CF2B1601B62}">
      <dgm:prSet/>
      <dgm:spPr/>
      <dgm:t>
        <a:bodyPr/>
        <a:lstStyle/>
        <a:p>
          <a:endParaRPr lang="en-US" sz="900"/>
        </a:p>
      </dgm:t>
    </dgm:pt>
    <dgm:pt modelId="{CD2C47B1-4F70-4FB3-A31B-7C1A38057EE8}" type="sibTrans" cxnId="{01DFBD2E-9F1A-45EC-9F1A-4CF2B1601B62}">
      <dgm:prSet/>
      <dgm:spPr/>
      <dgm:t>
        <a:bodyPr/>
        <a:lstStyle/>
        <a:p>
          <a:endParaRPr lang="en-US" sz="900"/>
        </a:p>
      </dgm:t>
    </dgm:pt>
    <dgm:pt modelId="{55E97D0C-9819-4EE0-A3F9-597E6EDC2ED6}">
      <dgm:prSet phldrT="[Text]" custT="1"/>
      <dgm:spPr>
        <a:solidFill>
          <a:srgbClr val="0070C0"/>
        </a:solidFill>
      </dgm:spPr>
      <dgm:t>
        <a:bodyPr/>
        <a:lstStyle/>
        <a:p>
          <a:r>
            <a:rPr lang="en-US" sz="1050"/>
            <a:t>Injuries due to capacity-driven Islanding</a:t>
          </a:r>
        </a:p>
      </dgm:t>
    </dgm:pt>
    <dgm:pt modelId="{061EE113-3AF9-4316-A70F-A00DAD186D56}" type="parTrans" cxnId="{B4EE9D39-6CF7-42C5-8BA5-84F035E67723}">
      <dgm:prSet/>
      <dgm:spPr/>
      <dgm:t>
        <a:bodyPr/>
        <a:lstStyle/>
        <a:p>
          <a:endParaRPr lang="en-US" sz="900"/>
        </a:p>
      </dgm:t>
    </dgm:pt>
    <dgm:pt modelId="{FB96E47B-237E-4408-AA80-F3175948D3E9}" type="sibTrans" cxnId="{B4EE9D39-6CF7-42C5-8BA5-84F035E67723}">
      <dgm:prSet/>
      <dgm:spPr/>
      <dgm:t>
        <a:bodyPr/>
        <a:lstStyle/>
        <a:p>
          <a:endParaRPr lang="en-US" sz="900"/>
        </a:p>
      </dgm:t>
    </dgm:pt>
    <dgm:pt modelId="{A6D01A4A-DF36-45A8-88C8-57C44624ED42}">
      <dgm:prSet phldrT="[Text]" custT="1"/>
      <dgm:spPr>
        <a:noFill/>
        <a:ln>
          <a:noFill/>
        </a:ln>
      </dgm:spPr>
      <dgm:t>
        <a:bodyPr/>
        <a:lstStyle/>
        <a:p>
          <a:endParaRPr lang="en-US" sz="1000"/>
        </a:p>
      </dgm:t>
    </dgm:pt>
    <dgm:pt modelId="{43782FB8-D84B-423F-9583-86E7CB795B84}" type="parTrans" cxnId="{AEE8CF9E-A433-4771-8BC9-CD2168D87EAA}">
      <dgm:prSet/>
      <dgm:spPr/>
      <dgm:t>
        <a:bodyPr/>
        <a:lstStyle/>
        <a:p>
          <a:endParaRPr lang="en-US" sz="1100"/>
        </a:p>
      </dgm:t>
    </dgm:pt>
    <dgm:pt modelId="{6983C98B-3EEB-447B-BE49-974729846E09}" type="sibTrans" cxnId="{AEE8CF9E-A433-4771-8BC9-CD2168D87EAA}">
      <dgm:prSet/>
      <dgm:spPr/>
      <dgm:t>
        <a:bodyPr/>
        <a:lstStyle/>
        <a:p>
          <a:endParaRPr lang="en-US" sz="1100"/>
        </a:p>
      </dgm:t>
    </dgm:pt>
    <dgm:pt modelId="{4D4DB8A8-AD25-47D4-BE66-DDC4FB93DCA0}" type="pres">
      <dgm:prSet presAssocID="{357B9011-0517-462B-9457-0FC447E70E99}" presName="Name0" presStyleCnt="0">
        <dgm:presLayoutVars>
          <dgm:dir/>
          <dgm:animLvl val="lvl"/>
          <dgm:resizeHandles val="exact"/>
        </dgm:presLayoutVars>
      </dgm:prSet>
      <dgm:spPr/>
    </dgm:pt>
    <dgm:pt modelId="{50CF63A2-4227-453E-B533-A6EE206EA74C}" type="pres">
      <dgm:prSet presAssocID="{46E17026-08B3-4454-993C-FFE8621CA05D}" presName="Name8" presStyleCnt="0"/>
      <dgm:spPr/>
    </dgm:pt>
    <dgm:pt modelId="{4A7A175E-C58C-4202-A8FA-28D5910DB177}" type="pres">
      <dgm:prSet presAssocID="{46E17026-08B3-4454-993C-FFE8621CA05D}" presName="level" presStyleLbl="node1" presStyleIdx="0" presStyleCnt="4" custLinFactNeighborX="11785" custLinFactNeighborY="4743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78DFED0-4E7D-4A77-8D55-EDD5688AAFD2}" type="pres">
      <dgm:prSet presAssocID="{46E17026-08B3-4454-993C-FFE8621CA05D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5B17081-788F-4582-9920-439FD0C5C58A}" type="pres">
      <dgm:prSet presAssocID="{C37E1D77-9BE3-4E8A-9719-4955B6210485}" presName="Name8" presStyleCnt="0"/>
      <dgm:spPr/>
    </dgm:pt>
    <dgm:pt modelId="{5C321C55-6A0E-4186-B5CC-C32C77358CAF}" type="pres">
      <dgm:prSet presAssocID="{C37E1D77-9BE3-4E8A-9719-4955B6210485}" presName="level" presStyleLbl="node1" presStyleIdx="1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16BA830D-6EE1-481A-BF59-B1B0B4E7EFB0}" type="pres">
      <dgm:prSet presAssocID="{C37E1D77-9BE3-4E8A-9719-4955B6210485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5FC677D8-088B-4C5F-A46F-A7FE4F5D8F63}" type="pres">
      <dgm:prSet presAssocID="{55E97D0C-9819-4EE0-A3F9-597E6EDC2ED6}" presName="Name8" presStyleCnt="0"/>
      <dgm:spPr/>
    </dgm:pt>
    <dgm:pt modelId="{68E9BDBA-85E7-4AFD-8184-E437567097B8}" type="pres">
      <dgm:prSet presAssocID="{55E97D0C-9819-4EE0-A3F9-597E6EDC2ED6}" presName="level" presStyleLbl="node1" presStyleIdx="2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0D5C8DE-F4EA-44FF-BCC5-70D1DDE89731}" type="pres">
      <dgm:prSet presAssocID="{55E97D0C-9819-4EE0-A3F9-597E6EDC2ED6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2FCF8994-DB17-408B-8C0B-CEDB28809DF8}" type="pres">
      <dgm:prSet presAssocID="{A6D01A4A-DF36-45A8-88C8-57C44624ED42}" presName="Name8" presStyleCnt="0"/>
      <dgm:spPr/>
    </dgm:pt>
    <dgm:pt modelId="{8EC7F838-CF02-4956-9FBC-215D3AC0AB90}" type="pres">
      <dgm:prSet presAssocID="{A6D01A4A-DF36-45A8-88C8-57C44624ED42}" presName="level" presStyleLbl="node1" presStyleIdx="3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B1264B2-2CD9-44D0-862F-346B1F16F147}" type="pres">
      <dgm:prSet presAssocID="{A6D01A4A-DF36-45A8-88C8-57C44624ED42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77771588-D6F3-4388-B21B-905E5C1F4ACB}" type="presOf" srcId="{55E97D0C-9819-4EE0-A3F9-597E6EDC2ED6}" destId="{80D5C8DE-F4EA-44FF-BCC5-70D1DDE89731}" srcOrd="1" destOrd="0" presId="urn:microsoft.com/office/officeart/2005/8/layout/pyramid3"/>
    <dgm:cxn modelId="{5BE861AD-518B-4498-AF99-8E267809A3E0}" type="presOf" srcId="{C37E1D77-9BE3-4E8A-9719-4955B6210485}" destId="{5C321C55-6A0E-4186-B5CC-C32C77358CAF}" srcOrd="0" destOrd="0" presId="urn:microsoft.com/office/officeart/2005/8/layout/pyramid3"/>
    <dgm:cxn modelId="{C5C326EB-9B63-4E54-86F2-3B8C34E4FB9C}" type="presOf" srcId="{55E97D0C-9819-4EE0-A3F9-597E6EDC2ED6}" destId="{68E9BDBA-85E7-4AFD-8184-E437567097B8}" srcOrd="0" destOrd="0" presId="urn:microsoft.com/office/officeart/2005/8/layout/pyramid3"/>
    <dgm:cxn modelId="{AEE8CF9E-A433-4771-8BC9-CD2168D87EAA}" srcId="{357B9011-0517-462B-9457-0FC447E70E99}" destId="{A6D01A4A-DF36-45A8-88C8-57C44624ED42}" srcOrd="3" destOrd="0" parTransId="{43782FB8-D84B-423F-9583-86E7CB795B84}" sibTransId="{6983C98B-3EEB-447B-BE49-974729846E09}"/>
    <dgm:cxn modelId="{29B504BB-D6D5-4DC8-9CA3-34E7832115FF}" type="presOf" srcId="{46E17026-08B3-4454-993C-FFE8621CA05D}" destId="{D78DFED0-4E7D-4A77-8D55-EDD5688AAFD2}" srcOrd="1" destOrd="0" presId="urn:microsoft.com/office/officeart/2005/8/layout/pyramid3"/>
    <dgm:cxn modelId="{248C9BBA-B550-4F9D-B32E-906EC76103B7}" type="presOf" srcId="{357B9011-0517-462B-9457-0FC447E70E99}" destId="{4D4DB8A8-AD25-47D4-BE66-DDC4FB93DCA0}" srcOrd="0" destOrd="0" presId="urn:microsoft.com/office/officeart/2005/8/layout/pyramid3"/>
    <dgm:cxn modelId="{F169156B-482E-4430-8C73-3EE129F70172}" type="presOf" srcId="{A6D01A4A-DF36-45A8-88C8-57C44624ED42}" destId="{BB1264B2-2CD9-44D0-862F-346B1F16F147}" srcOrd="1" destOrd="0" presId="urn:microsoft.com/office/officeart/2005/8/layout/pyramid3"/>
    <dgm:cxn modelId="{FAC0CEA0-931A-4D3C-B494-6629BB1353C5}" type="presOf" srcId="{46E17026-08B3-4454-993C-FFE8621CA05D}" destId="{4A7A175E-C58C-4202-A8FA-28D5910DB177}" srcOrd="0" destOrd="0" presId="urn:microsoft.com/office/officeart/2005/8/layout/pyramid3"/>
    <dgm:cxn modelId="{0C7DFF02-8E61-4B48-AF84-04A2560D18BF}" srcId="{357B9011-0517-462B-9457-0FC447E70E99}" destId="{46E17026-08B3-4454-993C-FFE8621CA05D}" srcOrd="0" destOrd="0" parTransId="{AD6D41B4-DFA6-4405-818E-03A2E3FE7159}" sibTransId="{90E55BF5-07BD-4BD1-866F-0699651BF9EF}"/>
    <dgm:cxn modelId="{B4EE9D39-6CF7-42C5-8BA5-84F035E67723}" srcId="{357B9011-0517-462B-9457-0FC447E70E99}" destId="{55E97D0C-9819-4EE0-A3F9-597E6EDC2ED6}" srcOrd="2" destOrd="0" parTransId="{061EE113-3AF9-4316-A70F-A00DAD186D56}" sibTransId="{FB96E47B-237E-4408-AA80-F3175948D3E9}"/>
    <dgm:cxn modelId="{F121BEE7-A838-4983-8A87-E15B9E0C9660}" type="presOf" srcId="{A6D01A4A-DF36-45A8-88C8-57C44624ED42}" destId="{8EC7F838-CF02-4956-9FBC-215D3AC0AB90}" srcOrd="0" destOrd="0" presId="urn:microsoft.com/office/officeart/2005/8/layout/pyramid3"/>
    <dgm:cxn modelId="{01DFBD2E-9F1A-45EC-9F1A-4CF2B1601B62}" srcId="{357B9011-0517-462B-9457-0FC447E70E99}" destId="{C37E1D77-9BE3-4E8A-9719-4955B6210485}" srcOrd="1" destOrd="0" parTransId="{1C664AA5-B0C5-4AFB-8544-1F32A0580651}" sibTransId="{CD2C47B1-4F70-4FB3-A31B-7C1A38057EE8}"/>
    <dgm:cxn modelId="{9A9BBD2A-B220-4466-A69A-4120E9EDFF01}" type="presOf" srcId="{C37E1D77-9BE3-4E8A-9719-4955B6210485}" destId="{16BA830D-6EE1-481A-BF59-B1B0B4E7EFB0}" srcOrd="1" destOrd="0" presId="urn:microsoft.com/office/officeart/2005/8/layout/pyramid3"/>
    <dgm:cxn modelId="{69CAE040-A4F3-46D1-858A-9BD8FB70C8FF}" type="presParOf" srcId="{4D4DB8A8-AD25-47D4-BE66-DDC4FB93DCA0}" destId="{50CF63A2-4227-453E-B533-A6EE206EA74C}" srcOrd="0" destOrd="0" presId="urn:microsoft.com/office/officeart/2005/8/layout/pyramid3"/>
    <dgm:cxn modelId="{855800A5-40EC-4E11-B357-503C8566F717}" type="presParOf" srcId="{50CF63A2-4227-453E-B533-A6EE206EA74C}" destId="{4A7A175E-C58C-4202-A8FA-28D5910DB177}" srcOrd="0" destOrd="0" presId="urn:microsoft.com/office/officeart/2005/8/layout/pyramid3"/>
    <dgm:cxn modelId="{1FDCFF7D-3542-473D-A449-3C4046587938}" type="presParOf" srcId="{50CF63A2-4227-453E-B533-A6EE206EA74C}" destId="{D78DFED0-4E7D-4A77-8D55-EDD5688AAFD2}" srcOrd="1" destOrd="0" presId="urn:microsoft.com/office/officeart/2005/8/layout/pyramid3"/>
    <dgm:cxn modelId="{A76BAF2C-10E1-4FC7-AC4D-634F1D0686A9}" type="presParOf" srcId="{4D4DB8A8-AD25-47D4-BE66-DDC4FB93DCA0}" destId="{B5B17081-788F-4582-9920-439FD0C5C58A}" srcOrd="1" destOrd="0" presId="urn:microsoft.com/office/officeart/2005/8/layout/pyramid3"/>
    <dgm:cxn modelId="{1B53FD71-4452-4A25-A558-8E5DF19F3762}" type="presParOf" srcId="{B5B17081-788F-4582-9920-439FD0C5C58A}" destId="{5C321C55-6A0E-4186-B5CC-C32C77358CAF}" srcOrd="0" destOrd="0" presId="urn:microsoft.com/office/officeart/2005/8/layout/pyramid3"/>
    <dgm:cxn modelId="{5BCAA7B6-C225-4CFF-880F-4D698480D875}" type="presParOf" srcId="{B5B17081-788F-4582-9920-439FD0C5C58A}" destId="{16BA830D-6EE1-481A-BF59-B1B0B4E7EFB0}" srcOrd="1" destOrd="0" presId="urn:microsoft.com/office/officeart/2005/8/layout/pyramid3"/>
    <dgm:cxn modelId="{47F5CA2C-BEF1-4050-A291-868E3AD11BE0}" type="presParOf" srcId="{4D4DB8A8-AD25-47D4-BE66-DDC4FB93DCA0}" destId="{5FC677D8-088B-4C5F-A46F-A7FE4F5D8F63}" srcOrd="2" destOrd="0" presId="urn:microsoft.com/office/officeart/2005/8/layout/pyramid3"/>
    <dgm:cxn modelId="{E52D28BA-D2E2-4FC8-9633-2AE592840A88}" type="presParOf" srcId="{5FC677D8-088B-4C5F-A46F-A7FE4F5D8F63}" destId="{68E9BDBA-85E7-4AFD-8184-E437567097B8}" srcOrd="0" destOrd="0" presId="urn:microsoft.com/office/officeart/2005/8/layout/pyramid3"/>
    <dgm:cxn modelId="{036D7D98-8184-4584-BBA4-F4398265DFE0}" type="presParOf" srcId="{5FC677D8-088B-4C5F-A46F-A7FE4F5D8F63}" destId="{80D5C8DE-F4EA-44FF-BCC5-70D1DDE89731}" srcOrd="1" destOrd="0" presId="urn:microsoft.com/office/officeart/2005/8/layout/pyramid3"/>
    <dgm:cxn modelId="{DD7CEE05-FEF3-4BA2-86C8-2804DAC24EC4}" type="presParOf" srcId="{4D4DB8A8-AD25-47D4-BE66-DDC4FB93DCA0}" destId="{2FCF8994-DB17-408B-8C0B-CEDB28809DF8}" srcOrd="3" destOrd="0" presId="urn:microsoft.com/office/officeart/2005/8/layout/pyramid3"/>
    <dgm:cxn modelId="{B399C630-31C4-4D8D-B1EE-9A85E991E126}" type="presParOf" srcId="{2FCF8994-DB17-408B-8C0B-CEDB28809DF8}" destId="{8EC7F838-CF02-4956-9FBC-215D3AC0AB90}" srcOrd="0" destOrd="0" presId="urn:microsoft.com/office/officeart/2005/8/layout/pyramid3"/>
    <dgm:cxn modelId="{E380A75C-E8BE-4CC3-A646-79953F31BC24}" type="presParOf" srcId="{2FCF8994-DB17-408B-8C0B-CEDB28809DF8}" destId="{BB1264B2-2CD9-44D0-862F-346B1F16F147}" srcOrd="1" destOrd="0" presId="urn:microsoft.com/office/officeart/2005/8/layout/pyramid3"/>
  </dgm:cxnLst>
  <dgm:bg/>
  <dgm:whole>
    <a:ln>
      <a:noFill/>
    </a:ln>
  </dgm:whole>
  <dgm:extLst>
    <a:ext uri="http://schemas.microsoft.com/office/drawing/2008/diagram">
      <dsp:dataModelExt xmlns:dsp="http://schemas.microsoft.com/office/drawing/2008/diagram" relId="rId1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A7A175E-C58C-4202-A8FA-28D5910DB177}">
      <dsp:nvSpPr>
        <dsp:cNvPr id="0" name=""/>
        <dsp:cNvSpPr/>
      </dsp:nvSpPr>
      <dsp:spPr>
        <a:xfrm rot="10800000">
          <a:off x="0" y="0"/>
          <a:ext cx="3536950" cy="400050"/>
        </a:xfrm>
        <a:prstGeom prst="trapezoid">
          <a:avLst>
            <a:gd name="adj" fmla="val 110516"/>
          </a:avLst>
        </a:prstGeom>
        <a:solidFill>
          <a:srgbClr val="FFFF0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2032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kern="1200"/>
            <a:t>Structure Fire Responses</a:t>
          </a:r>
        </a:p>
      </dsp:txBody>
      <dsp:txXfrm rot="-10800000">
        <a:off x="618966" y="0"/>
        <a:ext cx="2299017" cy="400050"/>
      </dsp:txXfrm>
    </dsp:sp>
    <dsp:sp modelId="{5C321C55-6A0E-4186-B5CC-C32C77358CAF}">
      <dsp:nvSpPr>
        <dsp:cNvPr id="0" name=""/>
        <dsp:cNvSpPr/>
      </dsp:nvSpPr>
      <dsp:spPr>
        <a:xfrm rot="10800000">
          <a:off x="442118" y="400049"/>
          <a:ext cx="2652712" cy="400050"/>
        </a:xfrm>
        <a:prstGeom prst="trapezoid">
          <a:avLst>
            <a:gd name="adj" fmla="val 110516"/>
          </a:avLst>
        </a:prstGeom>
        <a:solidFill>
          <a:srgbClr val="00B05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100" kern="1200"/>
            <a:t>Responses to premises with rogue DER</a:t>
          </a:r>
        </a:p>
      </dsp:txBody>
      <dsp:txXfrm rot="-10800000">
        <a:off x="906343" y="400049"/>
        <a:ext cx="1724263" cy="400050"/>
      </dsp:txXfrm>
    </dsp:sp>
    <dsp:sp modelId="{68E9BDBA-85E7-4AFD-8184-E437567097B8}">
      <dsp:nvSpPr>
        <dsp:cNvPr id="0" name=""/>
        <dsp:cNvSpPr/>
      </dsp:nvSpPr>
      <dsp:spPr>
        <a:xfrm rot="10800000">
          <a:off x="884237" y="800100"/>
          <a:ext cx="1768475" cy="400050"/>
        </a:xfrm>
        <a:prstGeom prst="trapezoid">
          <a:avLst>
            <a:gd name="adj" fmla="val 110516"/>
          </a:avLst>
        </a:prstGeom>
        <a:solidFill>
          <a:srgbClr val="0070C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100" kern="1200"/>
            <a:t>Injuries due to rogue DER</a:t>
          </a:r>
        </a:p>
      </dsp:txBody>
      <dsp:txXfrm rot="-10800000">
        <a:off x="1193720" y="800100"/>
        <a:ext cx="1149508" cy="400050"/>
      </dsp:txXfrm>
    </dsp:sp>
    <dsp:sp modelId="{8EC7F838-CF02-4956-9FBC-215D3AC0AB90}">
      <dsp:nvSpPr>
        <dsp:cNvPr id="0" name=""/>
        <dsp:cNvSpPr/>
      </dsp:nvSpPr>
      <dsp:spPr>
        <a:xfrm rot="10800000">
          <a:off x="1326356" y="1200150"/>
          <a:ext cx="884237" cy="400050"/>
        </a:xfrm>
        <a:prstGeom prst="trapezoid">
          <a:avLst>
            <a:gd name="adj" fmla="val 110516"/>
          </a:avLst>
        </a:prstGeom>
        <a:noFill/>
        <a:ln w="12700" cap="flat" cmpd="sng" algn="ctr">
          <a:noFill/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ctr" defTabSz="466725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050" kern="1200"/>
        </a:p>
      </dsp:txBody>
      <dsp:txXfrm rot="-10800000">
        <a:off x="1326356" y="1200150"/>
        <a:ext cx="884237" cy="400050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A7A175E-C58C-4202-A8FA-28D5910DB177}">
      <dsp:nvSpPr>
        <dsp:cNvPr id="0" name=""/>
        <dsp:cNvSpPr/>
      </dsp:nvSpPr>
      <dsp:spPr>
        <a:xfrm rot="10800000">
          <a:off x="0" y="0"/>
          <a:ext cx="3536950" cy="423862"/>
        </a:xfrm>
        <a:prstGeom prst="trapezoid">
          <a:avLst>
            <a:gd name="adj" fmla="val 104307"/>
          </a:avLst>
        </a:prstGeom>
        <a:solidFill>
          <a:srgbClr val="FFFF0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400" kern="1200"/>
            <a:t>Annual Sustained Outage Events</a:t>
          </a:r>
          <a:endParaRPr lang="en-US" sz="1600" kern="1200"/>
        </a:p>
      </dsp:txBody>
      <dsp:txXfrm rot="-10800000">
        <a:off x="618966" y="0"/>
        <a:ext cx="2299017" cy="423862"/>
      </dsp:txXfrm>
    </dsp:sp>
    <dsp:sp modelId="{5C321C55-6A0E-4186-B5CC-C32C77358CAF}">
      <dsp:nvSpPr>
        <dsp:cNvPr id="0" name=""/>
        <dsp:cNvSpPr/>
      </dsp:nvSpPr>
      <dsp:spPr>
        <a:xfrm rot="10800000">
          <a:off x="442118" y="423862"/>
          <a:ext cx="2652712" cy="423862"/>
        </a:xfrm>
        <a:prstGeom prst="trapezoid">
          <a:avLst>
            <a:gd name="adj" fmla="val 104307"/>
          </a:avLst>
        </a:prstGeom>
        <a:solidFill>
          <a:srgbClr val="00B05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100" kern="1200"/>
            <a:t>Islanding Events</a:t>
          </a:r>
        </a:p>
      </dsp:txBody>
      <dsp:txXfrm rot="-10800000">
        <a:off x="906343" y="423862"/>
        <a:ext cx="1724263" cy="423862"/>
      </dsp:txXfrm>
    </dsp:sp>
    <dsp:sp modelId="{68E9BDBA-85E7-4AFD-8184-E437567097B8}">
      <dsp:nvSpPr>
        <dsp:cNvPr id="0" name=""/>
        <dsp:cNvSpPr/>
      </dsp:nvSpPr>
      <dsp:spPr>
        <a:xfrm rot="10800000">
          <a:off x="884237" y="847724"/>
          <a:ext cx="1768475" cy="423862"/>
        </a:xfrm>
        <a:prstGeom prst="trapezoid">
          <a:avLst>
            <a:gd name="adj" fmla="val 104307"/>
          </a:avLst>
        </a:prstGeom>
        <a:solidFill>
          <a:srgbClr val="0070C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100" kern="1200"/>
            <a:t>Injuries due to rogue DER</a:t>
          </a:r>
        </a:p>
      </dsp:txBody>
      <dsp:txXfrm rot="-10800000">
        <a:off x="1193720" y="847724"/>
        <a:ext cx="1149508" cy="423862"/>
      </dsp:txXfrm>
    </dsp:sp>
    <dsp:sp modelId="{8EC7F838-CF02-4956-9FBC-215D3AC0AB90}">
      <dsp:nvSpPr>
        <dsp:cNvPr id="0" name=""/>
        <dsp:cNvSpPr/>
      </dsp:nvSpPr>
      <dsp:spPr>
        <a:xfrm rot="10800000">
          <a:off x="1326356" y="1271587"/>
          <a:ext cx="884237" cy="423862"/>
        </a:xfrm>
        <a:prstGeom prst="trapezoid">
          <a:avLst>
            <a:gd name="adj" fmla="val 104307"/>
          </a:avLst>
        </a:prstGeom>
        <a:noFill/>
        <a:ln w="12700" cap="flat" cmpd="sng" algn="ctr">
          <a:noFill/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ctr" defTabSz="466725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050" kern="1200"/>
        </a:p>
      </dsp:txBody>
      <dsp:txXfrm rot="-10800000">
        <a:off x="1326356" y="1271587"/>
        <a:ext cx="884237" cy="423862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A7A175E-C58C-4202-A8FA-28D5910DB177}">
      <dsp:nvSpPr>
        <dsp:cNvPr id="0" name=""/>
        <dsp:cNvSpPr/>
      </dsp:nvSpPr>
      <dsp:spPr>
        <a:xfrm rot="10800000">
          <a:off x="0" y="20781"/>
          <a:ext cx="3527425" cy="438149"/>
        </a:xfrm>
        <a:prstGeom prst="trapezoid">
          <a:avLst>
            <a:gd name="adj" fmla="val 100634"/>
          </a:avLst>
        </a:prstGeom>
        <a:solidFill>
          <a:srgbClr val="FFFF0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400" kern="1200"/>
            <a:t>Annual Circuit Lockouts</a:t>
          </a:r>
        </a:p>
      </dsp:txBody>
      <dsp:txXfrm rot="-10800000">
        <a:off x="617299" y="20781"/>
        <a:ext cx="2292826" cy="438149"/>
      </dsp:txXfrm>
    </dsp:sp>
    <dsp:sp modelId="{5C321C55-6A0E-4186-B5CC-C32C77358CAF}">
      <dsp:nvSpPr>
        <dsp:cNvPr id="0" name=""/>
        <dsp:cNvSpPr/>
      </dsp:nvSpPr>
      <dsp:spPr>
        <a:xfrm rot="10800000">
          <a:off x="440928" y="438150"/>
          <a:ext cx="2645568" cy="438149"/>
        </a:xfrm>
        <a:prstGeom prst="trapezoid">
          <a:avLst>
            <a:gd name="adj" fmla="val 100634"/>
          </a:avLst>
        </a:prstGeom>
        <a:solidFill>
          <a:srgbClr val="00B05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ctr" defTabSz="466725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50" kern="1200"/>
            <a:t>Lockouts on Circuits with excessive DER Capacity</a:t>
          </a:r>
        </a:p>
      </dsp:txBody>
      <dsp:txXfrm rot="-10800000">
        <a:off x="903902" y="438150"/>
        <a:ext cx="1719619" cy="438149"/>
      </dsp:txXfrm>
    </dsp:sp>
    <dsp:sp modelId="{68E9BDBA-85E7-4AFD-8184-E437567097B8}">
      <dsp:nvSpPr>
        <dsp:cNvPr id="0" name=""/>
        <dsp:cNvSpPr/>
      </dsp:nvSpPr>
      <dsp:spPr>
        <a:xfrm rot="10800000">
          <a:off x="881856" y="876299"/>
          <a:ext cx="1763712" cy="438149"/>
        </a:xfrm>
        <a:prstGeom prst="trapezoid">
          <a:avLst>
            <a:gd name="adj" fmla="val 100634"/>
          </a:avLst>
        </a:prstGeom>
        <a:solidFill>
          <a:srgbClr val="0070C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ctr" defTabSz="466725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50" kern="1200"/>
            <a:t>Injuries due to capacity-driven Islanding</a:t>
          </a:r>
        </a:p>
      </dsp:txBody>
      <dsp:txXfrm rot="-10800000">
        <a:off x="1190505" y="876299"/>
        <a:ext cx="1146413" cy="438149"/>
      </dsp:txXfrm>
    </dsp:sp>
    <dsp:sp modelId="{8EC7F838-CF02-4956-9FBC-215D3AC0AB90}">
      <dsp:nvSpPr>
        <dsp:cNvPr id="0" name=""/>
        <dsp:cNvSpPr/>
      </dsp:nvSpPr>
      <dsp:spPr>
        <a:xfrm rot="10800000">
          <a:off x="1322784" y="1314449"/>
          <a:ext cx="881856" cy="438149"/>
        </a:xfrm>
        <a:prstGeom prst="trapezoid">
          <a:avLst>
            <a:gd name="adj" fmla="val 100634"/>
          </a:avLst>
        </a:prstGeom>
        <a:noFill/>
        <a:ln w="12700" cap="flat" cmpd="sng" algn="ctr">
          <a:noFill/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000" kern="1200"/>
        </a:p>
      </dsp:txBody>
      <dsp:txXfrm rot="-10800000">
        <a:off x="1322784" y="1314449"/>
        <a:ext cx="881856" cy="43814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yramid3">
  <dgm:title val=""/>
  <dgm:desc val=""/>
  <dgm:catLst>
    <dgm:cat type="pyramid" pri="2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pyra">
          <dgm:param type="linDir" val="fromT"/>
          <dgm:param type="txDir" val="fromT"/>
          <dgm:param type="pyraAcctPos" val="aft"/>
          <dgm:param type="pyraAcctTxMar" val="step"/>
          <dgm:param type="pyraAcctBkgdNode" val="acctBkgd"/>
          <dgm:param type="pyraAcctTxNode" val="acctTx"/>
          <dgm:param type="pyraLvlNode" val="level"/>
        </dgm:alg>
      </dgm:if>
      <dgm:else name="Name3">
        <dgm:alg type="pyra">
          <dgm:param type="linDir" val="fromT"/>
          <dgm:param type="txDir" val="fromT"/>
          <dgm:param type="pyraAcctPos" val="bef"/>
          <dgm:param type="pyraAcctTxMar" val="step"/>
          <dgm:param type="pyraAcctBkgdNode" val="acctBkgd"/>
          <dgm:param type="pyraAcctTxNode" val="acctTx"/>
          <dgm:param type="pyraLvlNode" val="level"/>
        </dgm:alg>
      </dgm:else>
    </dgm:choose>
    <dgm:shape xmlns:r="http://schemas.openxmlformats.org/officeDocument/2006/relationships" r:blip="">
      <dgm:adjLst/>
    </dgm:shape>
    <dgm:presOf/>
    <dgm:choose name="Name4">
      <dgm:if name="Name5" axis="root des" ptType="all node" func="maxDepth" op="gte" val="2">
        <dgm:constrLst>
          <dgm:constr type="primFontSz" for="des" forName="levelTx" op="equ"/>
          <dgm:constr type="secFontSz" for="des" forName="acctTx" op="equ"/>
          <dgm:constr type="pyraAcctRatio" val="0.32"/>
        </dgm:constrLst>
      </dgm:if>
      <dgm:else name="Name6">
        <dgm:constrLst>
          <dgm:constr type="primFontSz" for="des" forName="levelTx" op="equ"/>
          <dgm:constr type="secFontSz" for="des" forName="acctTx" op="equ"/>
          <dgm:constr type="pyraAcctRatio"/>
        </dgm:constrLst>
      </dgm:else>
    </dgm:choose>
    <dgm:ruleLst/>
    <dgm:forEach name="Name7" axis="ch" ptType="node">
      <dgm:layoutNode name="Name8">
        <dgm:alg type="composite">
          <dgm:param type="horzAlign" val="none"/>
        </dgm:alg>
        <dgm:shape xmlns:r="http://schemas.openxmlformats.org/officeDocument/2006/relationships" r:blip="">
          <dgm:adjLst/>
        </dgm:shape>
        <dgm:presOf/>
        <dgm:choose name="Name9">
          <dgm:if name="Name10" axis="self" ptType="node" func="revPos" op="equ" val="1">
            <dgm:constrLst>
              <dgm:constr type="ctrX" for="ch" forName="acctBkgd" val="1"/>
              <dgm:constr type="ctrY" for="ch" forName="acctBkgd" val="1"/>
              <dgm:constr type="w" for="ch" forName="acctBkgd" val="1"/>
              <dgm:constr type="h" for="ch" forName="acctBkgd" val="1"/>
              <dgm:constr type="ctrX" for="ch" forName="acctTx" val="1"/>
              <dgm:constr type="ctrY" for="ch" forName="acctTx" val="1"/>
              <dgm:constr type="w" for="ch" forName="acctTx" val="1"/>
              <dgm:constr type="h" for="ch" forName="acctTx" val="1"/>
              <dgm:constr type="ctrX" for="ch" forName="level" val="1"/>
              <dgm:constr type="ctrY" for="ch" forName="level" val="1"/>
              <dgm:constr type="w" for="ch" forName="level" val="1"/>
              <dgm:constr type="h" for="ch" forName="level" val="1"/>
              <dgm:constr type="ctrX" for="ch" forName="levelTx" refType="ctrX" refFor="ch" refForName="level"/>
              <dgm:constr type="ctrY" for="ch" forName="levelTx" refType="ctrY" refFor="ch" refForName="level"/>
              <dgm:constr type="w" for="ch" forName="levelTx" refType="w" refFor="ch" refForName="level"/>
              <dgm:constr type="h" for="ch" forName="levelTx" refType="h" refFor="ch" refForName="level"/>
            </dgm:constrLst>
          </dgm:if>
          <dgm:else name="Name11">
            <dgm:constrLst>
              <dgm:constr type="ctrX" for="ch" forName="acctBkgd" val="1"/>
              <dgm:constr type="ctrY" for="ch" forName="acctBkgd" val="1"/>
              <dgm:constr type="w" for="ch" forName="acctBkgd" val="1"/>
              <dgm:constr type="h" for="ch" forName="acctBkgd" val="1"/>
              <dgm:constr type="ctrX" for="ch" forName="acctTx" val="1"/>
              <dgm:constr type="ctrY" for="ch" forName="acctTx" val="1"/>
              <dgm:constr type="w" for="ch" forName="acctTx" val="1"/>
              <dgm:constr type="h" for="ch" forName="acctTx" val="1"/>
              <dgm:constr type="ctrX" for="ch" forName="level" val="1"/>
              <dgm:constr type="ctrY" for="ch" forName="level" val="1"/>
              <dgm:constr type="w" for="ch" forName="level" val="1"/>
              <dgm:constr type="h" for="ch" forName="level" val="1"/>
              <dgm:constr type="ctrX" for="ch" forName="levelTx" refType="ctrX" refFor="ch" refForName="level"/>
              <dgm:constr type="ctrY" for="ch" forName="levelTx" refType="ctrY" refFor="ch" refForName="level"/>
              <dgm:constr type="w" for="ch" forName="levelTx" refType="w" refFor="ch" refForName="level" fact="0.65"/>
              <dgm:constr type="h" for="ch" forName="levelTx" refType="h" refFor="ch" refForName="level"/>
            </dgm:constrLst>
          </dgm:else>
        </dgm:choose>
        <dgm:ruleLst/>
        <dgm:choose name="Name12">
          <dgm:if name="Name13" axis="ch" ptType="node" func="cnt" op="gte" val="1">
            <dgm:layoutNode name="acctBkgd" styleLbl="alignAcc1">
              <dgm:alg type="sp"/>
              <dgm:shape xmlns:r="http://schemas.openxmlformats.org/officeDocument/2006/relationships" type="nonIsoscelesTrapezoid" r:blip="">
                <dgm:adjLst/>
              </dgm:shape>
              <dgm:presOf axis="des" ptType="node"/>
              <dgm:constrLst/>
              <dgm:ruleLst/>
            </dgm:layoutNode>
            <dgm:layoutNode name="acctTx" styleLbl="alignAcc1">
              <dgm:varLst>
                <dgm:bulletEnabled val="1"/>
              </dgm:varLst>
              <dgm:alg type="tx">
                <dgm:param type="stBulletLvl" val="1"/>
                <dgm:param type="txAnchorVertCh" val="t"/>
              </dgm:alg>
              <dgm:shape xmlns:r="http://schemas.openxmlformats.org/officeDocument/2006/relationships" type="nonIsoscelesTrapezoid" r:blip="" hideGeom="1">
                <dgm:adjLst/>
              </dgm:shape>
              <dgm:presOf axis="des" ptType="node"/>
              <dgm:constrLst>
                <dgm:constr type="secFontSz" val="65"/>
                <dgm:constr type="primFontSz" refType="secFontSz"/>
                <dgm:constr type="tMarg" refType="secFontSz" fact="0.3"/>
                <dgm:constr type="bMarg" refType="secFontSz" fact="0.3"/>
                <dgm:constr type="lMarg" refType="secFontSz" fact="0.3"/>
                <dgm:constr type="rMarg" refType="secFontSz" fact="0.3"/>
              </dgm:constrLst>
              <dgm:ruleLst>
                <dgm:rule type="secFontSz" val="5" fact="NaN" max="NaN"/>
              </dgm:ruleLst>
            </dgm:layoutNode>
          </dgm:if>
          <dgm:else name="Name14"/>
        </dgm:choose>
        <dgm:layoutNode name="level">
          <dgm:varLst>
            <dgm:chMax val="1"/>
            <dgm:bulletEnabled val="1"/>
          </dgm:varLst>
          <dgm:alg type="sp"/>
          <dgm:shape xmlns:r="http://schemas.openxmlformats.org/officeDocument/2006/relationships" type="trapezoid" r:blip="">
            <dgm:adjLst/>
          </dgm:shape>
          <dgm:presOf axis="self"/>
          <dgm:constrLst>
            <dgm:constr type="h" val="500"/>
            <dgm:constr type="w" val="1"/>
          </dgm:constrLst>
          <dgm:ruleLst/>
        </dgm:layoutNode>
        <dgm:layoutNode name="levelTx" styleLbl="revTx">
          <dgm:varLst>
            <dgm:chMax val="1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layoutNode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pyramid3">
  <dgm:title val=""/>
  <dgm:desc val=""/>
  <dgm:catLst>
    <dgm:cat type="pyramid" pri="2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pyra">
          <dgm:param type="linDir" val="fromT"/>
          <dgm:param type="txDir" val="fromT"/>
          <dgm:param type="pyraAcctPos" val="aft"/>
          <dgm:param type="pyraAcctTxMar" val="step"/>
          <dgm:param type="pyraAcctBkgdNode" val="acctBkgd"/>
          <dgm:param type="pyraAcctTxNode" val="acctTx"/>
          <dgm:param type="pyraLvlNode" val="level"/>
        </dgm:alg>
      </dgm:if>
      <dgm:else name="Name3">
        <dgm:alg type="pyra">
          <dgm:param type="linDir" val="fromT"/>
          <dgm:param type="txDir" val="fromT"/>
          <dgm:param type="pyraAcctPos" val="bef"/>
          <dgm:param type="pyraAcctTxMar" val="step"/>
          <dgm:param type="pyraAcctBkgdNode" val="acctBkgd"/>
          <dgm:param type="pyraAcctTxNode" val="acctTx"/>
          <dgm:param type="pyraLvlNode" val="level"/>
        </dgm:alg>
      </dgm:else>
    </dgm:choose>
    <dgm:shape xmlns:r="http://schemas.openxmlformats.org/officeDocument/2006/relationships" r:blip="">
      <dgm:adjLst/>
    </dgm:shape>
    <dgm:presOf/>
    <dgm:choose name="Name4">
      <dgm:if name="Name5" axis="root des" ptType="all node" func="maxDepth" op="gte" val="2">
        <dgm:constrLst>
          <dgm:constr type="primFontSz" for="des" forName="levelTx" op="equ"/>
          <dgm:constr type="secFontSz" for="des" forName="acctTx" op="equ"/>
          <dgm:constr type="pyraAcctRatio" val="0.32"/>
        </dgm:constrLst>
      </dgm:if>
      <dgm:else name="Name6">
        <dgm:constrLst>
          <dgm:constr type="primFontSz" for="des" forName="levelTx" op="equ"/>
          <dgm:constr type="secFontSz" for="des" forName="acctTx" op="equ"/>
          <dgm:constr type="pyraAcctRatio"/>
        </dgm:constrLst>
      </dgm:else>
    </dgm:choose>
    <dgm:ruleLst/>
    <dgm:forEach name="Name7" axis="ch" ptType="node">
      <dgm:layoutNode name="Name8">
        <dgm:alg type="composite">
          <dgm:param type="horzAlign" val="none"/>
        </dgm:alg>
        <dgm:shape xmlns:r="http://schemas.openxmlformats.org/officeDocument/2006/relationships" r:blip="">
          <dgm:adjLst/>
        </dgm:shape>
        <dgm:presOf/>
        <dgm:choose name="Name9">
          <dgm:if name="Name10" axis="self" ptType="node" func="revPos" op="equ" val="1">
            <dgm:constrLst>
              <dgm:constr type="ctrX" for="ch" forName="acctBkgd" val="1"/>
              <dgm:constr type="ctrY" for="ch" forName="acctBkgd" val="1"/>
              <dgm:constr type="w" for="ch" forName="acctBkgd" val="1"/>
              <dgm:constr type="h" for="ch" forName="acctBkgd" val="1"/>
              <dgm:constr type="ctrX" for="ch" forName="acctTx" val="1"/>
              <dgm:constr type="ctrY" for="ch" forName="acctTx" val="1"/>
              <dgm:constr type="w" for="ch" forName="acctTx" val="1"/>
              <dgm:constr type="h" for="ch" forName="acctTx" val="1"/>
              <dgm:constr type="ctrX" for="ch" forName="level" val="1"/>
              <dgm:constr type="ctrY" for="ch" forName="level" val="1"/>
              <dgm:constr type="w" for="ch" forName="level" val="1"/>
              <dgm:constr type="h" for="ch" forName="level" val="1"/>
              <dgm:constr type="ctrX" for="ch" forName="levelTx" refType="ctrX" refFor="ch" refForName="level"/>
              <dgm:constr type="ctrY" for="ch" forName="levelTx" refType="ctrY" refFor="ch" refForName="level"/>
              <dgm:constr type="w" for="ch" forName="levelTx" refType="w" refFor="ch" refForName="level"/>
              <dgm:constr type="h" for="ch" forName="levelTx" refType="h" refFor="ch" refForName="level"/>
            </dgm:constrLst>
          </dgm:if>
          <dgm:else name="Name11">
            <dgm:constrLst>
              <dgm:constr type="ctrX" for="ch" forName="acctBkgd" val="1"/>
              <dgm:constr type="ctrY" for="ch" forName="acctBkgd" val="1"/>
              <dgm:constr type="w" for="ch" forName="acctBkgd" val="1"/>
              <dgm:constr type="h" for="ch" forName="acctBkgd" val="1"/>
              <dgm:constr type="ctrX" for="ch" forName="acctTx" val="1"/>
              <dgm:constr type="ctrY" for="ch" forName="acctTx" val="1"/>
              <dgm:constr type="w" for="ch" forName="acctTx" val="1"/>
              <dgm:constr type="h" for="ch" forName="acctTx" val="1"/>
              <dgm:constr type="ctrX" for="ch" forName="level" val="1"/>
              <dgm:constr type="ctrY" for="ch" forName="level" val="1"/>
              <dgm:constr type="w" for="ch" forName="level" val="1"/>
              <dgm:constr type="h" for="ch" forName="level" val="1"/>
              <dgm:constr type="ctrX" for="ch" forName="levelTx" refType="ctrX" refFor="ch" refForName="level"/>
              <dgm:constr type="ctrY" for="ch" forName="levelTx" refType="ctrY" refFor="ch" refForName="level"/>
              <dgm:constr type="w" for="ch" forName="levelTx" refType="w" refFor="ch" refForName="level" fact="0.65"/>
              <dgm:constr type="h" for="ch" forName="levelTx" refType="h" refFor="ch" refForName="level"/>
            </dgm:constrLst>
          </dgm:else>
        </dgm:choose>
        <dgm:ruleLst/>
        <dgm:choose name="Name12">
          <dgm:if name="Name13" axis="ch" ptType="node" func="cnt" op="gte" val="1">
            <dgm:layoutNode name="acctBkgd" styleLbl="alignAcc1">
              <dgm:alg type="sp"/>
              <dgm:shape xmlns:r="http://schemas.openxmlformats.org/officeDocument/2006/relationships" type="nonIsoscelesTrapezoid" r:blip="">
                <dgm:adjLst/>
              </dgm:shape>
              <dgm:presOf axis="des" ptType="node"/>
              <dgm:constrLst/>
              <dgm:ruleLst/>
            </dgm:layoutNode>
            <dgm:layoutNode name="acctTx" styleLbl="alignAcc1">
              <dgm:varLst>
                <dgm:bulletEnabled val="1"/>
              </dgm:varLst>
              <dgm:alg type="tx">
                <dgm:param type="stBulletLvl" val="1"/>
                <dgm:param type="txAnchorVertCh" val="t"/>
              </dgm:alg>
              <dgm:shape xmlns:r="http://schemas.openxmlformats.org/officeDocument/2006/relationships" type="nonIsoscelesTrapezoid" r:blip="" hideGeom="1">
                <dgm:adjLst/>
              </dgm:shape>
              <dgm:presOf axis="des" ptType="node"/>
              <dgm:constrLst>
                <dgm:constr type="secFontSz" val="65"/>
                <dgm:constr type="primFontSz" refType="secFontSz"/>
                <dgm:constr type="tMarg" refType="secFontSz" fact="0.3"/>
                <dgm:constr type="bMarg" refType="secFontSz" fact="0.3"/>
                <dgm:constr type="lMarg" refType="secFontSz" fact="0.3"/>
                <dgm:constr type="rMarg" refType="secFontSz" fact="0.3"/>
              </dgm:constrLst>
              <dgm:ruleLst>
                <dgm:rule type="secFontSz" val="5" fact="NaN" max="NaN"/>
              </dgm:ruleLst>
            </dgm:layoutNode>
          </dgm:if>
          <dgm:else name="Name14"/>
        </dgm:choose>
        <dgm:layoutNode name="level">
          <dgm:varLst>
            <dgm:chMax val="1"/>
            <dgm:bulletEnabled val="1"/>
          </dgm:varLst>
          <dgm:alg type="sp"/>
          <dgm:shape xmlns:r="http://schemas.openxmlformats.org/officeDocument/2006/relationships" type="trapezoid" r:blip="">
            <dgm:adjLst/>
          </dgm:shape>
          <dgm:presOf axis="self"/>
          <dgm:constrLst>
            <dgm:constr type="h" val="500"/>
            <dgm:constr type="w" val="1"/>
          </dgm:constrLst>
          <dgm:ruleLst/>
        </dgm:layoutNode>
        <dgm:layoutNode name="levelTx" styleLbl="revTx">
          <dgm:varLst>
            <dgm:chMax val="1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layoutNode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pyramid3">
  <dgm:title val=""/>
  <dgm:desc val=""/>
  <dgm:catLst>
    <dgm:cat type="pyramid" pri="2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pyra">
          <dgm:param type="linDir" val="fromT"/>
          <dgm:param type="txDir" val="fromT"/>
          <dgm:param type="pyraAcctPos" val="aft"/>
          <dgm:param type="pyraAcctTxMar" val="step"/>
          <dgm:param type="pyraAcctBkgdNode" val="acctBkgd"/>
          <dgm:param type="pyraAcctTxNode" val="acctTx"/>
          <dgm:param type="pyraLvlNode" val="level"/>
        </dgm:alg>
      </dgm:if>
      <dgm:else name="Name3">
        <dgm:alg type="pyra">
          <dgm:param type="linDir" val="fromT"/>
          <dgm:param type="txDir" val="fromT"/>
          <dgm:param type="pyraAcctPos" val="bef"/>
          <dgm:param type="pyraAcctTxMar" val="step"/>
          <dgm:param type="pyraAcctBkgdNode" val="acctBkgd"/>
          <dgm:param type="pyraAcctTxNode" val="acctTx"/>
          <dgm:param type="pyraLvlNode" val="level"/>
        </dgm:alg>
      </dgm:else>
    </dgm:choose>
    <dgm:shape xmlns:r="http://schemas.openxmlformats.org/officeDocument/2006/relationships" r:blip="">
      <dgm:adjLst/>
    </dgm:shape>
    <dgm:presOf/>
    <dgm:choose name="Name4">
      <dgm:if name="Name5" axis="root des" ptType="all node" func="maxDepth" op="gte" val="2">
        <dgm:constrLst>
          <dgm:constr type="primFontSz" for="des" forName="levelTx" op="equ"/>
          <dgm:constr type="secFontSz" for="des" forName="acctTx" op="equ"/>
          <dgm:constr type="pyraAcctRatio" val="0.32"/>
        </dgm:constrLst>
      </dgm:if>
      <dgm:else name="Name6">
        <dgm:constrLst>
          <dgm:constr type="primFontSz" for="des" forName="levelTx" op="equ"/>
          <dgm:constr type="secFontSz" for="des" forName="acctTx" op="equ"/>
          <dgm:constr type="pyraAcctRatio"/>
        </dgm:constrLst>
      </dgm:else>
    </dgm:choose>
    <dgm:ruleLst/>
    <dgm:forEach name="Name7" axis="ch" ptType="node">
      <dgm:layoutNode name="Name8">
        <dgm:alg type="composite">
          <dgm:param type="horzAlign" val="none"/>
        </dgm:alg>
        <dgm:shape xmlns:r="http://schemas.openxmlformats.org/officeDocument/2006/relationships" r:blip="">
          <dgm:adjLst/>
        </dgm:shape>
        <dgm:presOf/>
        <dgm:choose name="Name9">
          <dgm:if name="Name10" axis="self" ptType="node" func="revPos" op="equ" val="1">
            <dgm:constrLst>
              <dgm:constr type="ctrX" for="ch" forName="acctBkgd" val="1"/>
              <dgm:constr type="ctrY" for="ch" forName="acctBkgd" val="1"/>
              <dgm:constr type="w" for="ch" forName="acctBkgd" val="1"/>
              <dgm:constr type="h" for="ch" forName="acctBkgd" val="1"/>
              <dgm:constr type="ctrX" for="ch" forName="acctTx" val="1"/>
              <dgm:constr type="ctrY" for="ch" forName="acctTx" val="1"/>
              <dgm:constr type="w" for="ch" forName="acctTx" val="1"/>
              <dgm:constr type="h" for="ch" forName="acctTx" val="1"/>
              <dgm:constr type="ctrX" for="ch" forName="level" val="1"/>
              <dgm:constr type="ctrY" for="ch" forName="level" val="1"/>
              <dgm:constr type="w" for="ch" forName="level" val="1"/>
              <dgm:constr type="h" for="ch" forName="level" val="1"/>
              <dgm:constr type="ctrX" for="ch" forName="levelTx" refType="ctrX" refFor="ch" refForName="level"/>
              <dgm:constr type="ctrY" for="ch" forName="levelTx" refType="ctrY" refFor="ch" refForName="level"/>
              <dgm:constr type="w" for="ch" forName="levelTx" refType="w" refFor="ch" refForName="level"/>
              <dgm:constr type="h" for="ch" forName="levelTx" refType="h" refFor="ch" refForName="level"/>
            </dgm:constrLst>
          </dgm:if>
          <dgm:else name="Name11">
            <dgm:constrLst>
              <dgm:constr type="ctrX" for="ch" forName="acctBkgd" val="1"/>
              <dgm:constr type="ctrY" for="ch" forName="acctBkgd" val="1"/>
              <dgm:constr type="w" for="ch" forName="acctBkgd" val="1"/>
              <dgm:constr type="h" for="ch" forName="acctBkgd" val="1"/>
              <dgm:constr type="ctrX" for="ch" forName="acctTx" val="1"/>
              <dgm:constr type="ctrY" for="ch" forName="acctTx" val="1"/>
              <dgm:constr type="w" for="ch" forName="acctTx" val="1"/>
              <dgm:constr type="h" for="ch" forName="acctTx" val="1"/>
              <dgm:constr type="ctrX" for="ch" forName="level" val="1"/>
              <dgm:constr type="ctrY" for="ch" forName="level" val="1"/>
              <dgm:constr type="w" for="ch" forName="level" val="1"/>
              <dgm:constr type="h" for="ch" forName="level" val="1"/>
              <dgm:constr type="ctrX" for="ch" forName="levelTx" refType="ctrX" refFor="ch" refForName="level"/>
              <dgm:constr type="ctrY" for="ch" forName="levelTx" refType="ctrY" refFor="ch" refForName="level"/>
              <dgm:constr type="w" for="ch" forName="levelTx" refType="w" refFor="ch" refForName="level" fact="0.65"/>
              <dgm:constr type="h" for="ch" forName="levelTx" refType="h" refFor="ch" refForName="level"/>
            </dgm:constrLst>
          </dgm:else>
        </dgm:choose>
        <dgm:ruleLst/>
        <dgm:choose name="Name12">
          <dgm:if name="Name13" axis="ch" ptType="node" func="cnt" op="gte" val="1">
            <dgm:layoutNode name="acctBkgd" styleLbl="alignAcc1">
              <dgm:alg type="sp"/>
              <dgm:shape xmlns:r="http://schemas.openxmlformats.org/officeDocument/2006/relationships" type="nonIsoscelesTrapezoid" r:blip="">
                <dgm:adjLst/>
              </dgm:shape>
              <dgm:presOf axis="des" ptType="node"/>
              <dgm:constrLst/>
              <dgm:ruleLst/>
            </dgm:layoutNode>
            <dgm:layoutNode name="acctTx" styleLbl="alignAcc1">
              <dgm:varLst>
                <dgm:bulletEnabled val="1"/>
              </dgm:varLst>
              <dgm:alg type="tx">
                <dgm:param type="stBulletLvl" val="1"/>
                <dgm:param type="txAnchorVertCh" val="t"/>
              </dgm:alg>
              <dgm:shape xmlns:r="http://schemas.openxmlformats.org/officeDocument/2006/relationships" type="nonIsoscelesTrapezoid" r:blip="" hideGeom="1">
                <dgm:adjLst/>
              </dgm:shape>
              <dgm:presOf axis="des" ptType="node"/>
              <dgm:constrLst>
                <dgm:constr type="secFontSz" val="65"/>
                <dgm:constr type="primFontSz" refType="secFontSz"/>
                <dgm:constr type="tMarg" refType="secFontSz" fact="0.3"/>
                <dgm:constr type="bMarg" refType="secFontSz" fact="0.3"/>
                <dgm:constr type="lMarg" refType="secFontSz" fact="0.3"/>
                <dgm:constr type="rMarg" refType="secFontSz" fact="0.3"/>
              </dgm:constrLst>
              <dgm:ruleLst>
                <dgm:rule type="secFontSz" val="5" fact="NaN" max="NaN"/>
              </dgm:ruleLst>
            </dgm:layoutNode>
          </dgm:if>
          <dgm:else name="Name14"/>
        </dgm:choose>
        <dgm:layoutNode name="level">
          <dgm:varLst>
            <dgm:chMax val="1"/>
            <dgm:bulletEnabled val="1"/>
          </dgm:varLst>
          <dgm:alg type="sp"/>
          <dgm:shape xmlns:r="http://schemas.openxmlformats.org/officeDocument/2006/relationships" type="trapezoid" r:blip="">
            <dgm:adjLst/>
          </dgm:shape>
          <dgm:presOf axis="self"/>
          <dgm:constrLst>
            <dgm:constr type="h" val="500"/>
            <dgm:constr type="w" val="1"/>
          </dgm:constrLst>
          <dgm:ruleLst/>
        </dgm:layoutNode>
        <dgm:layoutNode name="levelTx" styleLbl="revTx">
          <dgm:varLst>
            <dgm:chMax val="1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13" Type="http://schemas.openxmlformats.org/officeDocument/2006/relationships/diagramQuickStyle" Target="../diagrams/quickStyle3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12" Type="http://schemas.openxmlformats.org/officeDocument/2006/relationships/diagramLayout" Target="../diagrams/layout3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11" Type="http://schemas.openxmlformats.org/officeDocument/2006/relationships/diagramData" Target="../diagrams/data3.xml"/><Relationship Id="rId5" Type="http://schemas.microsoft.com/office/2007/relationships/diagramDrawing" Target="../diagrams/drawing1.xml"/><Relationship Id="rId15" Type="http://schemas.microsoft.com/office/2007/relationships/diagramDrawing" Target="../diagrams/drawing3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Relationship Id="rId14" Type="http://schemas.openxmlformats.org/officeDocument/2006/relationships/diagramColors" Target="../diagrams/colors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1809750</xdr:colOff>
      <xdr:row>14</xdr:row>
      <xdr:rowOff>123825</xdr:rowOff>
    </xdr:from>
    <xdr:to>
      <xdr:col>0</xdr:col>
      <xdr:colOff>4124325</xdr:colOff>
      <xdr:row>21</xdr:row>
      <xdr:rowOff>28575</xdr:rowOff>
    </xdr:to>
    <xdr:pic>
      <xdr:nvPicPr>
        <xdr:cNvPr id="2" name="Picture 1" descr="C:\Users\jyork\Documents\RAMP\Presentations\sdge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762500"/>
          <a:ext cx="2314575" cy="1238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338294</xdr:colOff>
      <xdr:row>25</xdr:row>
      <xdr:rowOff>48022</xdr:rowOff>
    </xdr:from>
    <xdr:to>
      <xdr:col>30</xdr:col>
      <xdr:colOff>622891</xdr:colOff>
      <xdr:row>39</xdr:row>
      <xdr:rowOff>183322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603250</xdr:colOff>
      <xdr:row>24</xdr:row>
      <xdr:rowOff>182562</xdr:rowOff>
    </xdr:from>
    <xdr:to>
      <xdr:col>14</xdr:col>
      <xdr:colOff>4806950</xdr:colOff>
      <xdr:row>36</xdr:row>
      <xdr:rowOff>74612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403225</xdr:colOff>
      <xdr:row>1</xdr:row>
      <xdr:rowOff>38100</xdr:rowOff>
    </xdr:from>
    <xdr:to>
      <xdr:col>0</xdr:col>
      <xdr:colOff>4121150</xdr:colOff>
      <xdr:row>6</xdr:row>
      <xdr:rowOff>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0</xdr:col>
      <xdr:colOff>403225</xdr:colOff>
      <xdr:row>9</xdr:row>
      <xdr:rowOff>38100</xdr:rowOff>
    </xdr:from>
    <xdr:to>
      <xdr:col>0</xdr:col>
      <xdr:colOff>4121150</xdr:colOff>
      <xdr:row>14</xdr:row>
      <xdr:rowOff>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>
    <xdr:from>
      <xdr:col>0</xdr:col>
      <xdr:colOff>412750</xdr:colOff>
      <xdr:row>18</xdr:row>
      <xdr:rowOff>12700</xdr:rowOff>
    </xdr:from>
    <xdr:to>
      <xdr:col>0</xdr:col>
      <xdr:colOff>4130675</xdr:colOff>
      <xdr:row>24</xdr:row>
      <xdr:rowOff>31750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1" r:lo="rId12" r:qs="rId13" r:cs="rId1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33-11%20-%20Documents\04%20Draft%20Project%20Analysis\Electric\17E%20SDGE%20-%20Blackout\Analysis\33-11%20Analysis%20-%20Blackout%20v0-08%20DRAFT%20(Attorney%20Client%20Privilege)%20dcs%202016-08-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york/Documents/RAMP/Workpaper/RSE/Gas/SDGE-2-WP-RSE%20Catastrophic%20Damage%20Involving%20Third%20Party%20Dig-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Analysis"/>
      <sheetName val="Bowtie"/>
      <sheetName val="Summary"/>
      <sheetName val="Summary2"/>
      <sheetName val="Electric Disurbance Event Data"/>
      <sheetName val="Reference"/>
    </sheetNames>
    <sheetDataSet>
      <sheetData sheetId="0" refreshError="1"/>
      <sheetData sheetId="1" refreshError="1"/>
      <sheetData sheetId="2">
        <row r="13">
          <cell r="AE13" t="str">
            <v>BC Ratio</v>
          </cell>
        </row>
      </sheetData>
      <sheetData sheetId="3" refreshError="1"/>
      <sheetData sheetId="4">
        <row r="11">
          <cell r="I11" t="str">
            <v>B1 - Transmission Planning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Analysis"/>
      <sheetName val="Baseline Mitigation"/>
      <sheetName val="2015Costs"/>
      <sheetName val="Data"/>
      <sheetName val="Refer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tabSelected="1" zoomScaleNormal="100" workbookViewId="0"/>
  </sheetViews>
  <sheetFormatPr defaultRowHeight="15" x14ac:dyDescent="0.25"/>
  <cols>
    <col min="1" max="1" width="90.42578125" style="121" customWidth="1"/>
  </cols>
  <sheetData>
    <row r="1" spans="1:1" ht="34.5" x14ac:dyDescent="0.25">
      <c r="A1" s="115"/>
    </row>
    <row r="2" spans="1:1" ht="34.5" x14ac:dyDescent="0.25">
      <c r="A2" s="115"/>
    </row>
    <row r="3" spans="1:1" ht="34.5" x14ac:dyDescent="0.25">
      <c r="A3" s="116" t="s">
        <v>189</v>
      </c>
    </row>
    <row r="4" spans="1:1" ht="6" customHeight="1" x14ac:dyDescent="0.25">
      <c r="A4" s="116"/>
    </row>
    <row r="5" spans="1:1" ht="34.5" x14ac:dyDescent="0.25">
      <c r="A5" s="117" t="s">
        <v>190</v>
      </c>
    </row>
    <row r="6" spans="1:1" ht="6" customHeight="1" x14ac:dyDescent="0.25">
      <c r="A6" s="116"/>
    </row>
    <row r="7" spans="1:1" ht="34.5" x14ac:dyDescent="0.25">
      <c r="A7" s="116" t="s">
        <v>191</v>
      </c>
    </row>
    <row r="8" spans="1:1" ht="6" customHeight="1" x14ac:dyDescent="0.25">
      <c r="A8" s="116"/>
    </row>
    <row r="9" spans="1:1" ht="69" x14ac:dyDescent="0.25">
      <c r="A9" s="118" t="s">
        <v>193</v>
      </c>
    </row>
    <row r="10" spans="1:1" ht="6" customHeight="1" x14ac:dyDescent="0.25">
      <c r="A10" s="116"/>
    </row>
    <row r="11" spans="1:1" ht="34.5" x14ac:dyDescent="0.25">
      <c r="A11" s="116" t="s">
        <v>194</v>
      </c>
    </row>
    <row r="12" spans="1:1" ht="31.5" customHeight="1" x14ac:dyDescent="0.25">
      <c r="A12" s="119"/>
    </row>
    <row r="13" spans="1:1" ht="18.75" x14ac:dyDescent="0.25">
      <c r="A13" s="120" t="s">
        <v>192</v>
      </c>
    </row>
  </sheetData>
  <printOptions horizontalCentered="1" verticalCentere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32"/>
  <sheetViews>
    <sheetView zoomScale="85" zoomScaleNormal="85" workbookViewId="0">
      <selection activeCell="AC14" sqref="AC14"/>
    </sheetView>
  </sheetViews>
  <sheetFormatPr defaultRowHeight="15" x14ac:dyDescent="0.25"/>
  <cols>
    <col min="1" max="1" width="7.28515625" style="12" bestFit="1" customWidth="1"/>
    <col min="2" max="2" width="13.85546875" style="12" bestFit="1" customWidth="1"/>
    <col min="3" max="3" width="28.28515625" style="12" customWidth="1"/>
    <col min="4" max="4" width="11.7109375" style="12" bestFit="1" customWidth="1"/>
    <col min="5" max="5" width="9.140625" style="12"/>
    <col min="6" max="6" width="2.28515625" style="12" customWidth="1"/>
    <col min="7" max="7" width="10.5703125" style="12" customWidth="1"/>
    <col min="8" max="8" width="36.42578125" style="12" customWidth="1"/>
    <col min="9" max="9" width="60.42578125" style="56" customWidth="1"/>
    <col min="10" max="10" width="18.42578125" style="12" bestFit="1" customWidth="1"/>
    <col min="11" max="11" width="13.42578125" style="12" bestFit="1" customWidth="1"/>
    <col min="12" max="12" width="11.5703125" style="12" hidden="1" customWidth="1"/>
    <col min="13" max="14" width="8.5703125" style="12" customWidth="1"/>
    <col min="15" max="15" width="71.5703125" style="12" customWidth="1"/>
    <col min="16" max="16" width="11.7109375" style="12" bestFit="1" customWidth="1"/>
    <col min="17" max="17" width="13.7109375" style="12" customWidth="1"/>
    <col min="18" max="18" width="6" style="12" hidden="1" customWidth="1"/>
    <col min="19" max="19" width="6.42578125" style="12" hidden="1" customWidth="1"/>
    <col min="20" max="20" width="10.5703125" style="12" hidden="1" customWidth="1"/>
    <col min="21" max="21" width="8.140625" style="12" hidden="1" customWidth="1"/>
    <col min="22" max="22" width="8.5703125" style="12" hidden="1" customWidth="1"/>
    <col min="23" max="23" width="8.85546875" style="12" hidden="1" customWidth="1"/>
    <col min="24" max="24" width="10.5703125" style="12" hidden="1" customWidth="1"/>
    <col min="25" max="25" width="8.140625" style="12" hidden="1" customWidth="1"/>
    <col min="26" max="26" width="9.5703125" style="12" hidden="1" customWidth="1"/>
    <col min="27" max="27" width="10.42578125" style="12" hidden="1" customWidth="1"/>
    <col min="28" max="28" width="9.42578125" style="12" hidden="1" customWidth="1"/>
    <col min="29" max="29" width="13.7109375" style="12" customWidth="1"/>
    <col min="30" max="30" width="15.140625" style="12" bestFit="1" customWidth="1"/>
    <col min="31" max="31" width="16" style="57" customWidth="1"/>
    <col min="32" max="32" width="10.5703125" style="12" customWidth="1"/>
    <col min="33" max="33" width="7" style="12" bestFit="1" customWidth="1"/>
    <col min="34" max="35" width="4.7109375" style="12" customWidth="1"/>
    <col min="36" max="36" width="19.28515625" style="12" bestFit="1" customWidth="1"/>
    <col min="37" max="37" width="26.5703125" style="12" bestFit="1" customWidth="1"/>
    <col min="38" max="38" width="15.140625" style="12" customWidth="1"/>
    <col min="39" max="39" width="15.5703125" style="12" customWidth="1"/>
    <col min="40" max="40" width="14.42578125" style="12" customWidth="1"/>
    <col min="41" max="41" width="33.28515625" style="12" bestFit="1" customWidth="1"/>
    <col min="42" max="42" width="17.7109375" style="12" bestFit="1" customWidth="1"/>
    <col min="43" max="43" width="42.28515625" style="12" bestFit="1" customWidth="1"/>
    <col min="44" max="44" width="23.42578125" style="12" bestFit="1" customWidth="1"/>
    <col min="45" max="45" width="31.140625" style="12" bestFit="1" customWidth="1"/>
    <col min="46" max="46" width="47.140625" style="12" bestFit="1" customWidth="1"/>
    <col min="47" max="47" width="12" style="12" bestFit="1" customWidth="1"/>
    <col min="48" max="16384" width="9.140625" style="12"/>
  </cols>
  <sheetData>
    <row r="1" spans="1:40" ht="21.75" thickBot="1" x14ac:dyDescent="0.4">
      <c r="B1" s="55" t="s">
        <v>82</v>
      </c>
      <c r="C1" s="95" t="s">
        <v>53</v>
      </c>
      <c r="D1" s="96"/>
      <c r="E1" s="96"/>
      <c r="F1" s="96"/>
      <c r="G1" s="96"/>
      <c r="H1" s="97"/>
    </row>
    <row r="3" spans="1:40" ht="21" x14ac:dyDescent="0.35">
      <c r="B3" s="98" t="s">
        <v>2</v>
      </c>
      <c r="C3" s="98"/>
      <c r="D3" s="98"/>
      <c r="E3" s="98"/>
    </row>
    <row r="4" spans="1:40" ht="37.5" x14ac:dyDescent="0.3">
      <c r="B4" s="58" t="s">
        <v>9</v>
      </c>
      <c r="C4" s="59" t="s">
        <v>81</v>
      </c>
      <c r="D4" s="60" t="s">
        <v>80</v>
      </c>
      <c r="E4" s="61" t="s">
        <v>3</v>
      </c>
    </row>
    <row r="5" spans="1:40" ht="15.75" x14ac:dyDescent="0.25">
      <c r="A5" s="99"/>
      <c r="B5" s="100">
        <f>Methodology!$B$28/D5</f>
        <v>5.6954407847631158E-2</v>
      </c>
      <c r="C5" s="62" t="s">
        <v>1</v>
      </c>
      <c r="D5" s="63">
        <f>INDEX(Reference!$C:$G,MATCH($C$1,Reference!$B:$B,0),ROW()-ROW($B$4))</f>
        <v>0.182574185835055</v>
      </c>
      <c r="E5" s="103">
        <f>D5*(0.4*10^D6+0.2*10^D7+0.2*10^D8+0.2*10^D9)</f>
        <v>73139.218845523035</v>
      </c>
      <c r="H5" s="108"/>
      <c r="I5" s="109"/>
      <c r="J5" s="109"/>
    </row>
    <row r="6" spans="1:40" x14ac:dyDescent="0.25">
      <c r="A6" s="99"/>
      <c r="B6" s="101"/>
      <c r="C6" s="62" t="s">
        <v>4</v>
      </c>
      <c r="D6" s="64">
        <f>INDEX(Reference!$C:$G,MATCH($C$1,Reference!$B:$B,0),ROW()-ROW($B$4))</f>
        <v>6</v>
      </c>
      <c r="E6" s="104"/>
      <c r="H6" s="106"/>
      <c r="I6" s="107"/>
      <c r="J6" s="107"/>
    </row>
    <row r="7" spans="1:40" x14ac:dyDescent="0.25">
      <c r="A7" s="99"/>
      <c r="B7" s="101"/>
      <c r="C7" s="62" t="s">
        <v>5</v>
      </c>
      <c r="D7" s="64">
        <f>INDEX(Reference!$C:$G,MATCH($C$1,Reference!$B:$B,0),ROW()-ROW($B$4))</f>
        <v>3</v>
      </c>
      <c r="E7" s="104"/>
    </row>
    <row r="8" spans="1:40" x14ac:dyDescent="0.25">
      <c r="A8" s="99"/>
      <c r="B8" s="101"/>
      <c r="C8" s="62" t="s">
        <v>6</v>
      </c>
      <c r="D8" s="64">
        <f>INDEX(Reference!$C:$G,MATCH($C$1,Reference!$B:$B,0),ROW()-ROW($B$4))</f>
        <v>3</v>
      </c>
      <c r="E8" s="104"/>
    </row>
    <row r="9" spans="1:40" x14ac:dyDescent="0.25">
      <c r="A9" s="99"/>
      <c r="B9" s="102"/>
      <c r="C9" s="62" t="s">
        <v>7</v>
      </c>
      <c r="D9" s="64">
        <f>INDEX(Reference!$C:$G,MATCH($C$1,Reference!$B:$B,0),ROW()-ROW($B$4))</f>
        <v>3</v>
      </c>
      <c r="E9" s="105"/>
      <c r="AC9" s="65"/>
    </row>
    <row r="10" spans="1:40" x14ac:dyDescent="0.25">
      <c r="B10" s="12" t="s">
        <v>114</v>
      </c>
      <c r="AC10" s="65"/>
      <c r="AD10" s="57"/>
      <c r="AE10" s="12"/>
    </row>
    <row r="11" spans="1:40" x14ac:dyDescent="0.25">
      <c r="C11" s="66"/>
      <c r="D11" s="66"/>
      <c r="E11" s="66"/>
      <c r="F11" s="66"/>
      <c r="G11" s="66"/>
      <c r="H11" s="66"/>
      <c r="P11" s="12" t="s">
        <v>68</v>
      </c>
      <c r="Q11" s="67">
        <f>D5</f>
        <v>0.182574185835055</v>
      </c>
      <c r="R11" s="12">
        <f>D6</f>
        <v>6</v>
      </c>
      <c r="S11" s="12">
        <f>D7</f>
        <v>3</v>
      </c>
      <c r="T11" s="12">
        <f>D8</f>
        <v>3</v>
      </c>
      <c r="U11" s="12">
        <f>D9</f>
        <v>3</v>
      </c>
      <c r="V11" s="68"/>
      <c r="AC11" s="65"/>
      <c r="AD11" s="57"/>
      <c r="AE11" s="12"/>
    </row>
    <row r="12" spans="1:40" x14ac:dyDescent="0.25">
      <c r="C12" s="66"/>
      <c r="D12" s="66"/>
      <c r="E12" s="66"/>
      <c r="F12" s="66"/>
      <c r="G12" s="66"/>
      <c r="H12" s="66"/>
      <c r="I12" s="69"/>
      <c r="J12" s="94" t="s">
        <v>8</v>
      </c>
      <c r="K12" s="94"/>
      <c r="L12" s="70"/>
      <c r="M12" s="13"/>
      <c r="N12" s="13"/>
      <c r="O12" s="13"/>
      <c r="P12" s="13"/>
      <c r="Q12" s="71"/>
      <c r="R12" s="72">
        <v>0.4</v>
      </c>
      <c r="S12" s="72">
        <v>0.2</v>
      </c>
      <c r="T12" s="72">
        <v>0.2</v>
      </c>
      <c r="U12" s="72">
        <v>0.2</v>
      </c>
      <c r="V12" s="93" t="s">
        <v>71</v>
      </c>
      <c r="W12" s="93"/>
      <c r="X12" s="93"/>
      <c r="Y12" s="93"/>
      <c r="Z12" s="13"/>
      <c r="AA12" s="13"/>
      <c r="AB12" s="13"/>
      <c r="AC12" s="13"/>
      <c r="AD12" s="73"/>
      <c r="AE12" s="13"/>
      <c r="AF12" s="13"/>
      <c r="AG12" s="13"/>
      <c r="AH12" s="13"/>
      <c r="AI12" s="13"/>
      <c r="AJ12" s="13" t="s">
        <v>79</v>
      </c>
      <c r="AK12" s="12" t="s">
        <v>66</v>
      </c>
      <c r="AL12" s="12" t="s">
        <v>67</v>
      </c>
      <c r="AM12" s="13" t="s">
        <v>84</v>
      </c>
      <c r="AN12" s="13" t="s">
        <v>82</v>
      </c>
    </row>
    <row r="13" spans="1:40" s="56" customFormat="1" ht="45" x14ac:dyDescent="0.25">
      <c r="C13" s="61" t="s">
        <v>180</v>
      </c>
      <c r="D13" s="14" t="s">
        <v>10</v>
      </c>
      <c r="G13" s="61" t="s">
        <v>11</v>
      </c>
      <c r="H13" s="61" t="s">
        <v>12</v>
      </c>
      <c r="I13" s="61" t="s">
        <v>96</v>
      </c>
      <c r="J13" s="14" t="s">
        <v>183</v>
      </c>
      <c r="K13" s="14" t="s">
        <v>184</v>
      </c>
      <c r="L13" s="14" t="s">
        <v>15</v>
      </c>
      <c r="M13" s="61" t="s">
        <v>16</v>
      </c>
      <c r="N13" s="14" t="s">
        <v>17</v>
      </c>
      <c r="O13" s="14" t="s">
        <v>185</v>
      </c>
      <c r="P13" s="61" t="s">
        <v>186</v>
      </c>
      <c r="Q13" s="61" t="s">
        <v>69</v>
      </c>
      <c r="R13" s="61" t="s">
        <v>18</v>
      </c>
      <c r="S13" s="61" t="s">
        <v>19</v>
      </c>
      <c r="T13" s="61" t="s">
        <v>20</v>
      </c>
      <c r="U13" s="61" t="s">
        <v>0</v>
      </c>
      <c r="V13" s="61" t="s">
        <v>18</v>
      </c>
      <c r="W13" s="61" t="s">
        <v>19</v>
      </c>
      <c r="X13" s="61" t="s">
        <v>20</v>
      </c>
      <c r="Y13" s="61" t="s">
        <v>0</v>
      </c>
      <c r="Z13" s="61" t="s">
        <v>70</v>
      </c>
      <c r="AA13" s="61" t="s">
        <v>187</v>
      </c>
      <c r="AB13" s="61" t="s">
        <v>73</v>
      </c>
      <c r="AC13" s="61" t="str">
        <f>IF(D17=1,"Adjusted, ","")&amp;"Weighted New Score"</f>
        <v>Adjusted, Weighted New Score</v>
      </c>
      <c r="AD13" s="74" t="s">
        <v>65</v>
      </c>
      <c r="AE13" s="61" t="s">
        <v>188</v>
      </c>
      <c r="AF13" s="61" t="s">
        <v>72</v>
      </c>
      <c r="AG13" s="61"/>
      <c r="AH13" s="61"/>
      <c r="AI13" s="61"/>
      <c r="AJ13" s="75"/>
      <c r="AK13" s="56">
        <v>0</v>
      </c>
      <c r="AL13" s="56">
        <v>0</v>
      </c>
    </row>
    <row r="14" spans="1:40" ht="60" x14ac:dyDescent="0.25">
      <c r="C14" s="16" t="s">
        <v>181</v>
      </c>
      <c r="D14" s="16">
        <v>0</v>
      </c>
      <c r="G14" s="16" t="s">
        <v>77</v>
      </c>
      <c r="H14" s="15" t="s">
        <v>162</v>
      </c>
      <c r="I14" s="15" t="s">
        <v>113</v>
      </c>
      <c r="J14" s="54"/>
      <c r="K14" s="54">
        <v>400</v>
      </c>
      <c r="L14" s="54"/>
      <c r="M14" s="16" t="s">
        <v>78</v>
      </c>
      <c r="N14" s="16">
        <v>1</v>
      </c>
      <c r="O14" s="15" t="s">
        <v>179</v>
      </c>
      <c r="P14" s="76">
        <f>Methodology!G6*100*contSF</f>
        <v>13.797079379371766</v>
      </c>
      <c r="Q14" s="77">
        <f>$D$5*(1-($P14/100))</f>
        <v>0.15738428048915074</v>
      </c>
      <c r="R14" s="16">
        <v>0</v>
      </c>
      <c r="S14" s="64">
        <v>0</v>
      </c>
      <c r="T14" s="64">
        <v>0</v>
      </c>
      <c r="U14" s="64">
        <v>0</v>
      </c>
      <c r="V14" s="78">
        <f t="shared" ref="V14:Y16" si="0">(R$12)* ((10^R$11)*(1-(R14/100)))</f>
        <v>400000</v>
      </c>
      <c r="W14" s="78">
        <f t="shared" si="0"/>
        <v>200</v>
      </c>
      <c r="X14" s="78">
        <f t="shared" si="0"/>
        <v>200</v>
      </c>
      <c r="Y14" s="78">
        <f t="shared" si="0"/>
        <v>200</v>
      </c>
      <c r="Z14" s="79">
        <f>Q14*SUM(V14:Y14)</f>
        <v>63048.142763953787</v>
      </c>
      <c r="AA14" s="79">
        <f>($E$5-Z14)*N14</f>
        <v>10091.076081569248</v>
      </c>
      <c r="AB14" s="80"/>
      <c r="AC14" s="81">
        <f>IF($D$15=1,AB14,1)*AA14*IF($D$17=1,$B$5,1)</f>
        <v>574.73126277117069</v>
      </c>
      <c r="AD14" s="82">
        <f>J14+K14*N14</f>
        <v>400</v>
      </c>
      <c r="AE14" s="18">
        <f>AC14/AD14</f>
        <v>1.4368281569279266</v>
      </c>
      <c r="AF14" s="83">
        <f>RANK(AE14,$AE$14:$AE$17)</f>
        <v>3</v>
      </c>
      <c r="AG14" s="18"/>
      <c r="AH14" s="16"/>
      <c r="AI14" s="16"/>
      <c r="AJ14" s="84" t="str">
        <f>INDEX($G$14:$G$18,MATCH(ROW()-ROW($AK$13),$AF$14:$AF$18,0))</f>
        <v>B3</v>
      </c>
      <c r="AK14" s="65">
        <f>IF(INDEX($M$14:$M$18,MATCH(ROW()-ROW($AK$13),$AF$14:$AF$18,0))="new",1,-1)*INDEX(AC$14:AC$18,MATCH(ROW()-ROW($AK$13),$AF$14:$AF$18,0))+AK13</f>
        <v>12141.197926040977</v>
      </c>
      <c r="AL14" s="65">
        <f>IF(INDEX($M$14:$M$18,MATCH(ROW()-ROW($AK$13),$AF$14:$AF$18,0))="new",1,-1)*INDEX(AD$14:AD$18,MATCH(ROW()-ROW($AK$13),$AF$14:$AF$18,0))+AL13</f>
        <v>859</v>
      </c>
      <c r="AM14" s="12">
        <f>INDEX(AE:AE,MATCH(AJ14,G:G,0))</f>
        <v>14.134107015181581</v>
      </c>
      <c r="AN14" s="12" t="str">
        <f>AJ14&amp;" - "&amp;INDEX(H:H,MATCH(AJ14,G:G,0))</f>
        <v>B3 - Placard compliance enforcement</v>
      </c>
    </row>
    <row r="15" spans="1:40" ht="75" x14ac:dyDescent="0.25">
      <c r="C15" s="16" t="s">
        <v>22</v>
      </c>
      <c r="D15" s="16">
        <v>0</v>
      </c>
      <c r="G15" s="16" t="s">
        <v>166</v>
      </c>
      <c r="H15" s="16" t="s">
        <v>163</v>
      </c>
      <c r="I15" s="15" t="s">
        <v>161</v>
      </c>
      <c r="J15" s="54"/>
      <c r="K15" s="54">
        <v>-859</v>
      </c>
      <c r="L15" s="54"/>
      <c r="M15" s="16" t="s">
        <v>21</v>
      </c>
      <c r="N15" s="16">
        <v>1</v>
      </c>
      <c r="O15" s="15" t="s">
        <v>175</v>
      </c>
      <c r="P15" s="76">
        <f>-845*contSF</f>
        <v>-291.46330188922855</v>
      </c>
      <c r="Q15" s="77">
        <f>$D$5*(1-($P15/100))</f>
        <v>0.71471093626728244</v>
      </c>
      <c r="R15" s="16">
        <v>0</v>
      </c>
      <c r="S15" s="64">
        <v>0</v>
      </c>
      <c r="T15" s="64">
        <v>0</v>
      </c>
      <c r="U15" s="64">
        <v>0</v>
      </c>
      <c r="V15" s="78">
        <f t="shared" si="0"/>
        <v>400000</v>
      </c>
      <c r="W15" s="78">
        <f t="shared" si="0"/>
        <v>200</v>
      </c>
      <c r="X15" s="78">
        <f t="shared" si="0"/>
        <v>200</v>
      </c>
      <c r="Y15" s="78">
        <f t="shared" si="0"/>
        <v>200</v>
      </c>
      <c r="Z15" s="79">
        <f>Q15*SUM(V15:Y15)</f>
        <v>286313.20106867334</v>
      </c>
      <c r="AA15" s="79">
        <f>($E$5-Z15)*N15</f>
        <v>-213173.98222315032</v>
      </c>
      <c r="AB15" s="80"/>
      <c r="AC15" s="81">
        <f>IF($D$15=1,AB15,1)*AA15*IF($D$17=1,$B$5,1)</f>
        <v>-12141.197926040977</v>
      </c>
      <c r="AD15" s="82">
        <f>J15+K15*N15</f>
        <v>-859</v>
      </c>
      <c r="AE15" s="18">
        <f>AC15/AD15</f>
        <v>14.134107015181581</v>
      </c>
      <c r="AF15" s="83">
        <f t="shared" ref="AF15:AF17" si="1">RANK(AE15,$AE$14:$AE$17)</f>
        <v>1</v>
      </c>
      <c r="AG15" s="85"/>
      <c r="AH15" s="18"/>
      <c r="AI15" s="86"/>
      <c r="AJ15" s="84" t="str">
        <f t="shared" ref="AJ15:AJ17" si="2">INDEX($G$14:$G$18,MATCH(ROW()-ROW($AK$13),$AF$14:$AF$18,0))</f>
        <v>P2</v>
      </c>
      <c r="AK15" s="65">
        <f t="shared" ref="AK15:AK17" si="3">IF(INDEX($M$14:$M$18,MATCH(ROW()-ROW($AK$13),$AF$14:$AF$18,0))="new",1,-1)*INDEX(AC$14:AC$18,MATCH(ROW()-ROW($AK$13),$AF$14:$AF$18,0))+AK14</f>
        <v>12684.869354612407</v>
      </c>
      <c r="AL15" s="65">
        <f t="shared" ref="AL15:AL17" si="4">IF(INDEX($M$14:$M$18,MATCH(ROW()-ROW($AK$13),$AF$14:$AF$18,0))="new",1,-1)*INDEX(AD$14:AD$18,MATCH(ROW()-ROW($AK$13),$AF$14:$AF$18,0))+AL14</f>
        <v>1109</v>
      </c>
      <c r="AM15" s="12">
        <f t="shared" ref="AM15:AM17" si="5">INDEX(AE:AE,MATCH(AJ15,G:G,0))</f>
        <v>2.1746857142857161</v>
      </c>
      <c r="AN15" s="12" t="str">
        <f t="shared" ref="AN15:AN17" si="6">AJ15&amp;" - "&amp;INDEX(H:H,MATCH(AJ15,G:G,0))</f>
        <v>P2 - Inspect DER installations for islanding issues</v>
      </c>
    </row>
    <row r="16" spans="1:40" ht="105" x14ac:dyDescent="0.25">
      <c r="C16" s="16" t="s">
        <v>23</v>
      </c>
      <c r="D16" s="16">
        <v>0</v>
      </c>
      <c r="G16" s="16" t="s">
        <v>167</v>
      </c>
      <c r="H16" s="16" t="s">
        <v>164</v>
      </c>
      <c r="I16" s="15"/>
      <c r="J16" s="54">
        <v>-900</v>
      </c>
      <c r="K16" s="54">
        <v>-75</v>
      </c>
      <c r="L16" s="54"/>
      <c r="M16" s="16" t="s">
        <v>21</v>
      </c>
      <c r="N16" s="16">
        <v>1</v>
      </c>
      <c r="O16" s="38" t="s">
        <v>176</v>
      </c>
      <c r="P16" s="76">
        <f>-100*Methodology!E20/Methodology!D20*contOL</f>
        <v>-25.003835582370382</v>
      </c>
      <c r="Q16" s="77">
        <f>$D$5*(1-($P16/100))</f>
        <v>0.2282247350771035</v>
      </c>
      <c r="R16" s="16">
        <v>0</v>
      </c>
      <c r="S16" s="64">
        <v>0</v>
      </c>
      <c r="T16" s="64">
        <v>0</v>
      </c>
      <c r="U16" s="64">
        <v>0</v>
      </c>
      <c r="V16" s="78">
        <f t="shared" si="0"/>
        <v>400000</v>
      </c>
      <c r="W16" s="78">
        <f t="shared" si="0"/>
        <v>200</v>
      </c>
      <c r="X16" s="78">
        <f t="shared" si="0"/>
        <v>200</v>
      </c>
      <c r="Y16" s="78">
        <f t="shared" si="0"/>
        <v>200</v>
      </c>
      <c r="Z16" s="79">
        <f>Q16*SUM(V16:Y16)</f>
        <v>91426.828871887657</v>
      </c>
      <c r="AA16" s="79">
        <f>($E$5-Z16)*N16</f>
        <v>-18287.610026364622</v>
      </c>
      <c r="AB16" s="80"/>
      <c r="AC16" s="81">
        <f>IF($D$15=1,AB16,1)*AA16*IF($D$17=1,$B$5,1)</f>
        <v>-1041.5599999999995</v>
      </c>
      <c r="AD16" s="82">
        <f>J16+K16*N16</f>
        <v>-975</v>
      </c>
      <c r="AE16" s="18">
        <f>AC16/AD16</f>
        <v>1.0682666666666663</v>
      </c>
      <c r="AF16" s="83">
        <f t="shared" si="1"/>
        <v>4</v>
      </c>
      <c r="AG16" s="85"/>
      <c r="AH16" s="18"/>
      <c r="AI16" s="86"/>
      <c r="AJ16" s="84" t="str">
        <f t="shared" si="2"/>
        <v>P1</v>
      </c>
      <c r="AK16" s="65">
        <f t="shared" si="3"/>
        <v>13259.600617383578</v>
      </c>
      <c r="AL16" s="65">
        <f t="shared" si="4"/>
        <v>1509</v>
      </c>
      <c r="AM16" s="12">
        <f t="shared" si="5"/>
        <v>1.4368281569279266</v>
      </c>
      <c r="AN16" s="12" t="str">
        <f t="shared" si="6"/>
        <v>P1 - Enhanced First Responder Training</v>
      </c>
    </row>
    <row r="17" spans="3:40" ht="75" x14ac:dyDescent="0.25">
      <c r="C17" s="16" t="s">
        <v>182</v>
      </c>
      <c r="D17" s="16">
        <v>1</v>
      </c>
      <c r="G17" s="16" t="s">
        <v>109</v>
      </c>
      <c r="H17" s="16" t="s">
        <v>150</v>
      </c>
      <c r="I17" s="15" t="s">
        <v>149</v>
      </c>
      <c r="J17" s="54"/>
      <c r="K17" s="54">
        <v>250</v>
      </c>
      <c r="L17" s="54"/>
      <c r="M17" s="16" t="s">
        <v>78</v>
      </c>
      <c r="N17" s="16">
        <v>1</v>
      </c>
      <c r="O17" s="39" t="s">
        <v>177</v>
      </c>
      <c r="P17" s="76">
        <f>20*contIE</f>
        <v>13.051452639149376</v>
      </c>
      <c r="Q17" s="77">
        <f>$D$5*(1-($P17/100))</f>
        <v>0.15874560243948022</v>
      </c>
      <c r="R17" s="64">
        <v>0</v>
      </c>
      <c r="S17" s="64">
        <v>0</v>
      </c>
      <c r="T17" s="64">
        <v>0</v>
      </c>
      <c r="U17" s="64">
        <v>0</v>
      </c>
      <c r="V17" s="78">
        <f>(R$12)* ((10^R$11)*(1-(R17/100)))</f>
        <v>400000</v>
      </c>
      <c r="W17" s="78">
        <f>(S$12)* ((10^S$11)*(1-(S17/100)))</f>
        <v>200</v>
      </c>
      <c r="X17" s="78">
        <f>(T$12)* ((10^T$11)*(1-(T17/100)))</f>
        <v>200</v>
      </c>
      <c r="Y17" s="78">
        <f>(U$12)* ((10^U$11)*(1-(U17/100)))</f>
        <v>200</v>
      </c>
      <c r="Z17" s="79">
        <f>Q17*SUM(V17:Y17)</f>
        <v>63593.488337255774</v>
      </c>
      <c r="AA17" s="79">
        <f>($E$5-Z17)*N17</f>
        <v>9545.730508267261</v>
      </c>
      <c r="AB17" s="80"/>
      <c r="AC17" s="81">
        <f>IF($D$15=1,AB17,1)*AA17*IF($D$17=1,$B$5,1)</f>
        <v>543.67142857142903</v>
      </c>
      <c r="AD17" s="82">
        <f>J17+K17*N17</f>
        <v>250</v>
      </c>
      <c r="AE17" s="18">
        <f>AC17/AD17</f>
        <v>2.1746857142857161</v>
      </c>
      <c r="AF17" s="83">
        <f t="shared" si="1"/>
        <v>2</v>
      </c>
      <c r="AG17" s="85"/>
      <c r="AH17" s="18"/>
      <c r="AI17" s="86"/>
      <c r="AJ17" s="84" t="str">
        <f t="shared" si="2"/>
        <v>B1-B2</v>
      </c>
      <c r="AK17" s="65">
        <f t="shared" si="3"/>
        <v>14301.160617383577</v>
      </c>
      <c r="AL17" s="65">
        <f t="shared" si="4"/>
        <v>2484</v>
      </c>
      <c r="AM17" s="12">
        <f t="shared" si="5"/>
        <v>1.0682666666666663</v>
      </c>
      <c r="AN17" s="12" t="str">
        <f t="shared" si="6"/>
        <v>B1-B2 - Interconnection studies and modeling</v>
      </c>
    </row>
    <row r="18" spans="3:40" x14ac:dyDescent="0.25">
      <c r="C18" s="84"/>
      <c r="D18" s="84"/>
      <c r="G18" s="16"/>
      <c r="H18" s="16"/>
      <c r="I18" s="15"/>
      <c r="J18" s="54"/>
      <c r="K18" s="54"/>
      <c r="L18" s="54"/>
      <c r="M18" s="16"/>
      <c r="N18" s="16"/>
      <c r="O18" s="17"/>
      <c r="P18" s="76"/>
      <c r="Q18" s="77"/>
      <c r="R18" s="64"/>
      <c r="S18" s="64"/>
      <c r="T18" s="64"/>
      <c r="U18" s="64"/>
      <c r="V18" s="78"/>
      <c r="W18" s="78"/>
      <c r="X18" s="78"/>
      <c r="Y18" s="78"/>
      <c r="Z18" s="79"/>
      <c r="AA18" s="79"/>
      <c r="AB18" s="80"/>
      <c r="AC18" s="81"/>
      <c r="AD18" s="82"/>
      <c r="AE18" s="18"/>
      <c r="AF18" s="83"/>
      <c r="AG18" s="85"/>
      <c r="AH18" s="18"/>
      <c r="AI18" s="86"/>
      <c r="AJ18" s="84"/>
      <c r="AK18" s="65"/>
      <c r="AL18" s="65"/>
    </row>
    <row r="19" spans="3:40" x14ac:dyDescent="0.25">
      <c r="G19" s="16"/>
      <c r="H19" s="16"/>
      <c r="I19" s="15"/>
      <c r="J19" s="54"/>
      <c r="K19" s="54"/>
      <c r="L19" s="54"/>
      <c r="M19" s="16"/>
      <c r="N19" s="16"/>
      <c r="O19" s="16"/>
      <c r="P19" s="76"/>
      <c r="Q19" s="76"/>
      <c r="R19" s="64"/>
      <c r="S19" s="64"/>
      <c r="T19" s="64"/>
      <c r="U19" s="64"/>
      <c r="V19" s="78"/>
      <c r="W19" s="78"/>
      <c r="X19" s="78"/>
      <c r="Y19" s="78"/>
      <c r="Z19" s="79"/>
      <c r="AA19" s="79"/>
      <c r="AB19" s="80"/>
      <c r="AC19" s="81"/>
      <c r="AD19" s="82"/>
      <c r="AE19" s="18"/>
      <c r="AF19" s="18"/>
      <c r="AG19" s="85"/>
      <c r="AH19" s="18"/>
      <c r="AI19" s="86"/>
      <c r="AJ19" s="87"/>
      <c r="AK19" s="87"/>
    </row>
    <row r="20" spans="3:40" x14ac:dyDescent="0.25">
      <c r="G20" s="16"/>
      <c r="H20" s="16"/>
      <c r="I20" s="15"/>
      <c r="J20" s="54"/>
      <c r="K20" s="54"/>
      <c r="L20" s="54"/>
      <c r="M20" s="16"/>
      <c r="N20" s="16"/>
      <c r="O20" s="16"/>
      <c r="P20" s="76"/>
      <c r="Q20" s="76"/>
      <c r="R20" s="64"/>
      <c r="S20" s="64"/>
      <c r="T20" s="64"/>
      <c r="U20" s="64"/>
      <c r="V20" s="78"/>
      <c r="W20" s="78"/>
      <c r="X20" s="78"/>
      <c r="Y20" s="78"/>
      <c r="Z20" s="79"/>
      <c r="AA20" s="79"/>
      <c r="AB20" s="80"/>
      <c r="AC20" s="81"/>
      <c r="AD20" s="82"/>
      <c r="AE20" s="18"/>
      <c r="AF20" s="83"/>
      <c r="AG20" s="85"/>
      <c r="AH20" s="18"/>
      <c r="AI20" s="86"/>
      <c r="AJ20" s="84"/>
      <c r="AK20" s="65"/>
      <c r="AL20" s="65"/>
    </row>
    <row r="21" spans="3:40" x14ac:dyDescent="0.25">
      <c r="C21" s="94" t="s">
        <v>24</v>
      </c>
      <c r="D21" s="94"/>
      <c r="E21" s="60" t="s">
        <v>96</v>
      </c>
      <c r="G21" s="16"/>
      <c r="H21" s="16"/>
      <c r="I21" s="15"/>
      <c r="J21" s="54"/>
      <c r="K21" s="54"/>
      <c r="L21" s="54"/>
      <c r="M21" s="16"/>
      <c r="N21" s="16"/>
      <c r="O21" s="16"/>
      <c r="P21" s="76"/>
      <c r="Q21" s="76"/>
      <c r="R21" s="64"/>
      <c r="S21" s="64"/>
      <c r="T21" s="64"/>
      <c r="U21" s="64"/>
      <c r="V21" s="78"/>
      <c r="W21" s="78"/>
      <c r="X21" s="78"/>
      <c r="Y21" s="78"/>
      <c r="Z21" s="79"/>
      <c r="AA21" s="79"/>
      <c r="AB21" s="80"/>
      <c r="AC21" s="81"/>
      <c r="AD21" s="82"/>
      <c r="AE21" s="18"/>
      <c r="AF21" s="83"/>
      <c r="AG21" s="85"/>
      <c r="AH21" s="18"/>
      <c r="AI21" s="86"/>
      <c r="AJ21" s="84"/>
      <c r="AK21" s="65"/>
      <c r="AL21" s="65"/>
    </row>
    <row r="22" spans="3:40" x14ac:dyDescent="0.25">
      <c r="C22" s="44">
        <v>7</v>
      </c>
      <c r="D22" s="15">
        <v>31.6227766016838</v>
      </c>
      <c r="E22" s="16" t="s">
        <v>97</v>
      </c>
      <c r="G22" s="16"/>
      <c r="H22" s="16"/>
      <c r="I22" s="15"/>
      <c r="J22" s="54"/>
      <c r="K22" s="54"/>
      <c r="L22" s="54"/>
      <c r="M22" s="16"/>
      <c r="N22" s="16"/>
      <c r="O22" s="16"/>
      <c r="P22" s="76"/>
      <c r="Q22" s="76"/>
      <c r="R22" s="64"/>
      <c r="S22" s="64"/>
      <c r="T22" s="64"/>
      <c r="U22" s="64"/>
      <c r="V22" s="78"/>
      <c r="W22" s="78"/>
      <c r="X22" s="78"/>
      <c r="Y22" s="78"/>
      <c r="Z22" s="79"/>
      <c r="AA22" s="79"/>
      <c r="AB22" s="80"/>
      <c r="AC22" s="81"/>
      <c r="AD22" s="82"/>
      <c r="AE22" s="18"/>
      <c r="AF22" s="83"/>
      <c r="AG22" s="85"/>
      <c r="AH22" s="18"/>
      <c r="AI22" s="86"/>
      <c r="AJ22" s="84"/>
      <c r="AK22" s="65"/>
      <c r="AL22" s="65"/>
    </row>
    <row r="23" spans="3:40" x14ac:dyDescent="0.25">
      <c r="C23" s="44">
        <v>6</v>
      </c>
      <c r="D23" s="15">
        <v>3.16227766016838</v>
      </c>
      <c r="E23" s="16" t="s">
        <v>98</v>
      </c>
      <c r="G23" s="16"/>
      <c r="H23" s="16"/>
      <c r="I23" s="15"/>
      <c r="J23" s="54"/>
      <c r="K23" s="54"/>
      <c r="L23" s="54"/>
      <c r="M23" s="16"/>
      <c r="N23" s="16"/>
      <c r="O23" s="16"/>
      <c r="P23" s="76"/>
      <c r="Q23" s="76"/>
      <c r="R23" s="64"/>
      <c r="S23" s="64"/>
      <c r="T23" s="64"/>
      <c r="U23" s="64"/>
      <c r="V23" s="78"/>
      <c r="W23" s="78"/>
      <c r="X23" s="78"/>
      <c r="Y23" s="78"/>
      <c r="Z23" s="79"/>
      <c r="AA23" s="79"/>
      <c r="AB23" s="80"/>
      <c r="AC23" s="81"/>
      <c r="AD23" s="82"/>
      <c r="AE23" s="18"/>
      <c r="AF23" s="83"/>
      <c r="AG23" s="85"/>
      <c r="AH23" s="18"/>
      <c r="AI23" s="86"/>
      <c r="AJ23" s="84"/>
      <c r="AK23" s="65">
        <v>2</v>
      </c>
      <c r="AL23" s="65">
        <f>AE14</f>
        <v>1.4368281569279266</v>
      </c>
    </row>
    <row r="24" spans="3:40" x14ac:dyDescent="0.25">
      <c r="C24" s="44">
        <v>5</v>
      </c>
      <c r="D24" s="15">
        <v>0.57735026918962595</v>
      </c>
      <c r="E24" s="16" t="s">
        <v>99</v>
      </c>
      <c r="G24" s="16"/>
      <c r="H24" s="16"/>
      <c r="I24" s="15"/>
      <c r="J24" s="54"/>
      <c r="K24" s="54"/>
      <c r="L24" s="54"/>
      <c r="M24" s="16"/>
      <c r="N24" s="16"/>
      <c r="O24" s="16"/>
      <c r="P24" s="76"/>
      <c r="Q24" s="76"/>
      <c r="R24" s="64"/>
      <c r="S24" s="64"/>
      <c r="T24" s="64"/>
      <c r="U24" s="64"/>
      <c r="V24" s="78"/>
      <c r="W24" s="78"/>
      <c r="X24" s="78"/>
      <c r="Y24" s="78"/>
      <c r="Z24" s="79"/>
      <c r="AA24" s="79"/>
      <c r="AB24" s="80"/>
      <c r="AC24" s="81"/>
      <c r="AD24" s="82"/>
      <c r="AE24" s="18"/>
      <c r="AF24" s="83"/>
      <c r="AG24" s="85"/>
      <c r="AH24" s="18"/>
      <c r="AI24" s="86"/>
      <c r="AJ24" s="84"/>
      <c r="AK24" s="65">
        <v>10</v>
      </c>
      <c r="AL24" s="65">
        <f>$AL$23*AK24/$AK$23</f>
        <v>7.1841407846396335</v>
      </c>
    </row>
    <row r="25" spans="3:40" x14ac:dyDescent="0.25">
      <c r="C25" s="44">
        <v>4</v>
      </c>
      <c r="D25" s="15">
        <v>0.182574185835055</v>
      </c>
      <c r="E25" s="16" t="s">
        <v>100</v>
      </c>
      <c r="AD25" s="57"/>
      <c r="AE25" s="12"/>
      <c r="AK25" s="12">
        <v>20</v>
      </c>
      <c r="AL25" s="65">
        <f t="shared" ref="AL25:AL28" si="7">$AL$23*AK25/$AK$23</f>
        <v>14.368281569279267</v>
      </c>
    </row>
    <row r="26" spans="3:40" x14ac:dyDescent="0.25">
      <c r="C26" s="44">
        <v>3</v>
      </c>
      <c r="D26" s="15">
        <v>5.7735026918962602E-2</v>
      </c>
      <c r="E26" s="16" t="s">
        <v>101</v>
      </c>
      <c r="AD26" s="57"/>
      <c r="AE26" s="12"/>
      <c r="AK26" s="65">
        <v>30</v>
      </c>
      <c r="AL26" s="65">
        <f t="shared" si="7"/>
        <v>21.552422353918899</v>
      </c>
    </row>
    <row r="27" spans="3:40" x14ac:dyDescent="0.25">
      <c r="C27" s="44">
        <v>2</v>
      </c>
      <c r="D27" s="15">
        <v>1.8257418583505498E-2</v>
      </c>
      <c r="E27" s="16" t="s">
        <v>102</v>
      </c>
      <c r="AD27" s="57"/>
      <c r="AE27" s="12"/>
      <c r="AK27" s="65">
        <v>40</v>
      </c>
      <c r="AL27" s="65">
        <f t="shared" si="7"/>
        <v>28.736563138558534</v>
      </c>
    </row>
    <row r="28" spans="3:40" x14ac:dyDescent="0.25">
      <c r="C28" s="44">
        <v>1</v>
      </c>
      <c r="D28" s="15">
        <v>5.4772255750516604E-3</v>
      </c>
      <c r="E28" s="16" t="s">
        <v>103</v>
      </c>
      <c r="AD28" s="57"/>
      <c r="AE28" s="12"/>
      <c r="AK28" s="65">
        <v>50</v>
      </c>
      <c r="AL28" s="65">
        <f t="shared" si="7"/>
        <v>35.920703923198168</v>
      </c>
    </row>
    <row r="29" spans="3:40" x14ac:dyDescent="0.25">
      <c r="AD29" s="57"/>
      <c r="AE29" s="12"/>
    </row>
    <row r="30" spans="3:40" x14ac:dyDescent="0.25">
      <c r="AK30" s="65"/>
    </row>
    <row r="31" spans="3:40" x14ac:dyDescent="0.25">
      <c r="C31" s="12">
        <f>C25</f>
        <v>4</v>
      </c>
      <c r="D31" s="12">
        <f>1/D25</f>
        <v>5.4772255750516727</v>
      </c>
      <c r="E31" s="12" t="s">
        <v>104</v>
      </c>
    </row>
    <row r="32" spans="3:40" x14ac:dyDescent="0.25">
      <c r="C32" s="12">
        <f>C26</f>
        <v>3</v>
      </c>
      <c r="D32" s="12">
        <f>1/D26</f>
        <v>17.320508075688764</v>
      </c>
      <c r="E32" s="12" t="s">
        <v>104</v>
      </c>
    </row>
  </sheetData>
  <sheetProtection algorithmName="SHA-512" hashValue="DyaPsllFomZmjQSIr906DjaZp8VKkWw6z/CCyi/Z5ofUl2dMEWQuuxBOqfaZw3ZVMg2NACW7rU9JrNaOJD89Qg==" saltValue="dRDevIumRlbrieMqitKy3Q==" spinCount="100000" sheet="1" objects="1" scenarios="1"/>
  <mergeCells count="10">
    <mergeCell ref="A5:A9"/>
    <mergeCell ref="B5:B9"/>
    <mergeCell ref="E5:E9"/>
    <mergeCell ref="H6:J6"/>
    <mergeCell ref="H5:J5"/>
    <mergeCell ref="V12:Y12"/>
    <mergeCell ref="C21:D21"/>
    <mergeCell ref="J12:K12"/>
    <mergeCell ref="C1:H1"/>
    <mergeCell ref="B3:E3"/>
  </mergeCells>
  <dataValidations count="1">
    <dataValidation type="list" allowBlank="1" showInputMessage="1" showErrorMessage="1" sqref="M14:M24">
      <formula1>"New, Existing"</formula1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Reference!$B$2:$B$29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5"/>
  <sheetViews>
    <sheetView workbookViewId="0">
      <selection activeCell="B4" sqref="B4"/>
    </sheetView>
  </sheetViews>
  <sheetFormatPr defaultRowHeight="15" x14ac:dyDescent="0.25"/>
  <cols>
    <col min="2" max="2" width="48.7109375" customWidth="1"/>
  </cols>
  <sheetData>
    <row r="1" spans="1:2" ht="45" x14ac:dyDescent="0.25">
      <c r="A1" s="35" t="s">
        <v>145</v>
      </c>
      <c r="B1" s="36" t="s">
        <v>168</v>
      </c>
    </row>
    <row r="2" spans="1:2" ht="60" x14ac:dyDescent="0.25">
      <c r="A2" s="35" t="s">
        <v>151</v>
      </c>
      <c r="B2" s="36" t="s">
        <v>169</v>
      </c>
    </row>
    <row r="3" spans="1:2" ht="60" x14ac:dyDescent="0.25">
      <c r="A3" s="35" t="s">
        <v>77</v>
      </c>
      <c r="B3" s="36" t="s">
        <v>170</v>
      </c>
    </row>
    <row r="4" spans="1:2" ht="30" x14ac:dyDescent="0.25">
      <c r="A4" s="35" t="s">
        <v>166</v>
      </c>
      <c r="B4" s="36" t="s">
        <v>106</v>
      </c>
    </row>
    <row r="5" spans="1:2" x14ac:dyDescent="0.25">
      <c r="A5" s="35" t="s">
        <v>109</v>
      </c>
      <c r="B5" s="36" t="s">
        <v>171</v>
      </c>
    </row>
  </sheetData>
  <sheetProtection algorithmName="SHA-512" hashValue="cMA3dVNlGvOa3svGw/tSTItt0Z6D2DmGwrkmDZxuo6bXqwZ6QTH0Th3EnD+HiFOcEqnZsneOck58beIqEKqV4g==" saltValue="33ZHmL/BsnfGshusJnnFgA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6"/>
  <sheetViews>
    <sheetView zoomScale="85" zoomScaleNormal="85" workbookViewId="0">
      <selection activeCell="C3" sqref="C3"/>
    </sheetView>
  </sheetViews>
  <sheetFormatPr defaultRowHeight="15" x14ac:dyDescent="0.25"/>
  <cols>
    <col min="1" max="1" width="12" style="12" customWidth="1"/>
    <col min="2" max="2" width="36.5703125" style="12" customWidth="1"/>
    <col min="3" max="3" width="51.140625" style="12" bestFit="1" customWidth="1"/>
    <col min="4" max="4" width="12.5703125" style="12" customWidth="1"/>
    <col min="5" max="5" width="16.85546875" style="12" bestFit="1" customWidth="1"/>
    <col min="6" max="6" width="10.5703125" style="12" customWidth="1"/>
    <col min="7" max="7" width="20.5703125" style="12" bestFit="1" customWidth="1"/>
    <col min="8" max="8" width="12.28515625" style="12" bestFit="1" customWidth="1"/>
    <col min="9" max="9" width="15" style="12" bestFit="1" customWidth="1"/>
    <col min="10" max="10" width="16.7109375" style="12" customWidth="1"/>
    <col min="11" max="11" width="13.85546875" style="12" customWidth="1"/>
    <col min="12" max="16384" width="9.140625" style="12"/>
  </cols>
  <sheetData>
    <row r="1" spans="1:16" ht="45" x14ac:dyDescent="0.25">
      <c r="A1" s="61" t="s">
        <v>11</v>
      </c>
      <c r="B1" s="61" t="s">
        <v>12</v>
      </c>
      <c r="C1" s="61"/>
      <c r="D1" s="14" t="s">
        <v>13</v>
      </c>
      <c r="E1" s="14" t="s">
        <v>14</v>
      </c>
      <c r="F1" s="61" t="s">
        <v>16</v>
      </c>
      <c r="G1" s="14" t="s">
        <v>17</v>
      </c>
      <c r="H1" s="74" t="s">
        <v>86</v>
      </c>
      <c r="I1" s="12" t="str">
        <f>[1]Analysis!AE13</f>
        <v>BC Ratio</v>
      </c>
      <c r="J1" s="56" t="s">
        <v>87</v>
      </c>
      <c r="K1" s="12" t="s">
        <v>88</v>
      </c>
      <c r="M1" s="12" t="s">
        <v>89</v>
      </c>
      <c r="N1" s="12" t="s">
        <v>90</v>
      </c>
      <c r="O1" s="12" t="s">
        <v>91</v>
      </c>
      <c r="P1" s="12" t="s">
        <v>92</v>
      </c>
    </row>
    <row r="2" spans="1:16" ht="30" x14ac:dyDescent="0.25">
      <c r="A2" s="16" t="s">
        <v>112</v>
      </c>
      <c r="B2" s="16" t="s">
        <v>105</v>
      </c>
      <c r="C2" s="15" t="s">
        <v>106</v>
      </c>
      <c r="D2" s="54">
        <v>0</v>
      </c>
      <c r="E2" s="88">
        <v>0</v>
      </c>
      <c r="F2" s="16" t="s">
        <v>78</v>
      </c>
      <c r="G2" s="16">
        <f>Analysis!$N$14</f>
        <v>1</v>
      </c>
      <c r="H2" s="89">
        <f>D2+E2*G2</f>
        <v>0</v>
      </c>
      <c r="I2" s="65">
        <f>Analysis!$AE$14</f>
        <v>1.4368281569279266</v>
      </c>
      <c r="J2" s="12">
        <f>I2*H2</f>
        <v>0</v>
      </c>
      <c r="K2" s="12">
        <v>1</v>
      </c>
      <c r="N2" s="12">
        <v>0</v>
      </c>
      <c r="O2" s="12">
        <v>0</v>
      </c>
    </row>
    <row r="3" spans="1:16" ht="45" x14ac:dyDescent="0.25">
      <c r="A3" s="16" t="s">
        <v>77</v>
      </c>
      <c r="B3" s="16" t="s">
        <v>107</v>
      </c>
      <c r="C3" s="15" t="s">
        <v>108</v>
      </c>
      <c r="D3" s="54"/>
      <c r="E3" s="88">
        <v>20</v>
      </c>
      <c r="F3" s="16" t="s">
        <v>78</v>
      </c>
      <c r="G3" s="16">
        <f>Analysis!$N$14</f>
        <v>1</v>
      </c>
      <c r="H3" s="89">
        <f>D3+E3*G3</f>
        <v>20</v>
      </c>
      <c r="I3" s="65">
        <f>Analysis!$AE$14</f>
        <v>1.4368281569279266</v>
      </c>
      <c r="J3" s="12">
        <f>I3*H3</f>
        <v>28.736563138558534</v>
      </c>
      <c r="K3" s="12">
        <v>2</v>
      </c>
      <c r="M3" s="12" t="str">
        <f>INDEX(A:A,MATCH(ROW()-ROW($M$2),K:K,0))</f>
        <v>B3 (P)</v>
      </c>
      <c r="N3" s="12">
        <f>INDEX(J:J,MATCH(M3,A:A,0))</f>
        <v>0</v>
      </c>
      <c r="O3" s="12">
        <f>INDEX(H:H,MATCH(M3,A:A,0))</f>
        <v>0</v>
      </c>
      <c r="P3" s="57"/>
    </row>
    <row r="4" spans="1:16" x14ac:dyDescent="0.25">
      <c r="A4" s="16" t="s">
        <v>109</v>
      </c>
      <c r="B4" s="16" t="s">
        <v>110</v>
      </c>
      <c r="C4" s="15" t="s">
        <v>111</v>
      </c>
      <c r="D4" s="54"/>
      <c r="E4" s="88"/>
      <c r="F4" s="16" t="s">
        <v>78</v>
      </c>
      <c r="G4" s="16">
        <f>Analysis!$N$14</f>
        <v>1</v>
      </c>
      <c r="H4" s="89">
        <f>D4+E4*G4</f>
        <v>0</v>
      </c>
      <c r="I4" s="65">
        <f>Analysis!$AE$14</f>
        <v>1.4368281569279266</v>
      </c>
      <c r="J4" s="12">
        <f>I4*H4</f>
        <v>0</v>
      </c>
      <c r="K4" s="12">
        <v>3</v>
      </c>
      <c r="M4" s="12" t="str">
        <f>INDEX(A:A,MATCH(ROW()-ROW($M$2),K:K,0))</f>
        <v>P1</v>
      </c>
      <c r="N4" s="12">
        <f>INDEX(J:J,MATCH(M4,A:A,0))+N3</f>
        <v>28.736563138558534</v>
      </c>
      <c r="O4" s="57">
        <f>INDEX(H:H,MATCH(M4,A:A,0))+O3</f>
        <v>20</v>
      </c>
      <c r="P4" s="57"/>
    </row>
    <row r="5" spans="1:16" x14ac:dyDescent="0.25">
      <c r="A5" s="16"/>
      <c r="B5" s="16"/>
      <c r="C5" s="39"/>
      <c r="D5" s="54"/>
      <c r="E5" s="88"/>
      <c r="F5" s="16"/>
      <c r="G5" s="16"/>
      <c r="H5" s="89"/>
      <c r="I5" s="65"/>
      <c r="M5" s="12" t="str">
        <f>INDEX(A:A,MATCH(ROW()-ROW($M$2),K:K,0))</f>
        <v>P2</v>
      </c>
      <c r="N5" s="12">
        <f>INDEX(J:J,MATCH(M5,A:A,0))+N4</f>
        <v>28.736563138558534</v>
      </c>
      <c r="O5" s="57">
        <f>INDEX(H:H,MATCH(M5,A:A,0))+O4</f>
        <v>20</v>
      </c>
    </row>
    <row r="6" spans="1:16" ht="30" customHeight="1" x14ac:dyDescent="0.25">
      <c r="A6" s="16"/>
      <c r="B6" s="16"/>
      <c r="C6" s="39"/>
      <c r="D6" s="54"/>
      <c r="E6" s="88"/>
      <c r="F6" s="16"/>
      <c r="G6" s="16"/>
      <c r="H6" s="89"/>
      <c r="I6" s="65"/>
      <c r="O6" s="57"/>
    </row>
    <row r="7" spans="1:16" x14ac:dyDescent="0.25">
      <c r="A7" s="16"/>
      <c r="B7" s="16"/>
      <c r="C7" s="39"/>
      <c r="D7" s="54"/>
      <c r="E7" s="88"/>
      <c r="F7" s="16"/>
      <c r="G7" s="16"/>
      <c r="H7" s="89"/>
      <c r="I7" s="65"/>
      <c r="O7" s="57"/>
    </row>
    <row r="8" spans="1:16" x14ac:dyDescent="0.25">
      <c r="A8" s="16"/>
      <c r="B8" s="16"/>
      <c r="C8" s="17"/>
      <c r="D8" s="54"/>
      <c r="E8" s="88"/>
      <c r="F8" s="16"/>
      <c r="G8" s="16"/>
      <c r="H8" s="89"/>
      <c r="I8" s="65"/>
      <c r="O8" s="57"/>
    </row>
    <row r="9" spans="1:16" x14ac:dyDescent="0.25">
      <c r="A9" s="16"/>
      <c r="B9" s="16"/>
      <c r="C9" s="16"/>
      <c r="D9" s="54"/>
      <c r="E9" s="88"/>
      <c r="F9" s="16"/>
      <c r="G9" s="16"/>
      <c r="H9" s="89"/>
      <c r="I9" s="65">
        <f>Analysis!$AE$15</f>
        <v>14.134107015181581</v>
      </c>
      <c r="O9" s="57"/>
    </row>
    <row r="10" spans="1:16" x14ac:dyDescent="0.25">
      <c r="O10" s="57"/>
    </row>
    <row r="12" spans="1:16" x14ac:dyDescent="0.25">
      <c r="A12" s="60" t="s">
        <v>85</v>
      </c>
      <c r="B12" s="60"/>
      <c r="C12" s="60" t="str">
        <f>Analysis!$M$13</f>
        <v>New/Existing</v>
      </c>
      <c r="D12" s="90" t="str">
        <f>Analysis!AA13</f>
        <v>New Score (for life of project)</v>
      </c>
      <c r="E12" s="90" t="str">
        <f>Analysis!AD13</f>
        <v>Cost</v>
      </c>
      <c r="F12" s="90" t="str">
        <f>Analysis!AE13</f>
        <v>RSE</v>
      </c>
      <c r="G12" s="90" t="s">
        <v>95</v>
      </c>
      <c r="H12" s="90" t="str">
        <f>Analysis!AF13</f>
        <v>Rank</v>
      </c>
    </row>
    <row r="13" spans="1:16" x14ac:dyDescent="0.25">
      <c r="A13" s="15">
        <f>Analysis!G24</f>
        <v>0</v>
      </c>
      <c r="B13" s="15">
        <f>Analysis!H24</f>
        <v>0</v>
      </c>
      <c r="C13" s="15">
        <f>Analysis!M24</f>
        <v>0</v>
      </c>
      <c r="D13" s="16">
        <f>Analysis!AA24</f>
        <v>0</v>
      </c>
      <c r="E13" s="16">
        <f>Analysis!AD24</f>
        <v>0</v>
      </c>
      <c r="F13" s="76">
        <v>0</v>
      </c>
      <c r="G13" s="16"/>
      <c r="H13" s="16">
        <f>Analysis!AF24</f>
        <v>0</v>
      </c>
    </row>
    <row r="14" spans="1:16" x14ac:dyDescent="0.25">
      <c r="A14" s="15" t="s">
        <v>77</v>
      </c>
      <c r="B14" s="15">
        <f>$B$9</f>
        <v>0</v>
      </c>
      <c r="C14" s="15" t="s">
        <v>78</v>
      </c>
      <c r="D14" s="16">
        <v>1</v>
      </c>
      <c r="E14" s="91">
        <f>$H$9</f>
        <v>0</v>
      </c>
      <c r="F14" s="76">
        <f>$I$9</f>
        <v>14.134107015181581</v>
      </c>
      <c r="G14" s="92">
        <f>F14*E14</f>
        <v>0</v>
      </c>
      <c r="H14" s="16">
        <v>1</v>
      </c>
    </row>
    <row r="15" spans="1:16" ht="60" x14ac:dyDescent="0.25">
      <c r="A15" s="15" t="s">
        <v>93</v>
      </c>
      <c r="B15" s="15" t="str">
        <f>$B$2&amp;"
"&amp;$B$3&amp;"
"&amp;$B$4&amp;"
"&amp;$B$5</f>
        <v xml:space="preserve">Safety Placards
First Responder Awareness
Virtual Application Process
</v>
      </c>
      <c r="C15" s="15" t="s">
        <v>21</v>
      </c>
      <c r="D15" s="16">
        <v>1</v>
      </c>
      <c r="E15" s="91">
        <f>SUM($H$2:$H$5)</f>
        <v>20</v>
      </c>
      <c r="F15" s="76">
        <f>$I$2</f>
        <v>1.4368281569279266</v>
      </c>
      <c r="G15" s="92">
        <f>F15*E15</f>
        <v>28.736563138558534</v>
      </c>
      <c r="H15" s="16">
        <v>2</v>
      </c>
    </row>
    <row r="16" spans="1:16" ht="45" x14ac:dyDescent="0.25">
      <c r="A16" s="15" t="s">
        <v>94</v>
      </c>
      <c r="B16" s="15" t="str">
        <f>$B$6&amp;"
"&amp;$B$7&amp;"
"&amp;$B$8</f>
        <v xml:space="preserve">
</v>
      </c>
      <c r="C16" s="15" t="s">
        <v>78</v>
      </c>
      <c r="D16" s="16">
        <v>1</v>
      </c>
      <c r="E16" s="91">
        <f>SUM($H$6:$H$8)</f>
        <v>0</v>
      </c>
      <c r="F16" s="76">
        <f>$I$6</f>
        <v>0</v>
      </c>
      <c r="G16" s="92">
        <f>F16*E16</f>
        <v>0</v>
      </c>
      <c r="H16" s="16">
        <v>3</v>
      </c>
    </row>
  </sheetData>
  <sheetProtection algorithmName="SHA-512" hashValue="4Ocs7eqpsTqYKDyA+ec3ApO4gq9+K41qjZKkCWoGNwy0rX+duXNaevQgRXx6GNZjyuq6a57AzvzzbPpS/BkZ2g==" saltValue="drpfUqPfofa8Zy/Jfac0rg==" spinCount="100000" sheet="1" objects="1" scenarios="1"/>
  <autoFilter ref="A12:H16">
    <sortState ref="A13:H16">
      <sortCondition ref="H12:H16"/>
    </sortState>
  </autoFilter>
  <dataValidations count="1">
    <dataValidation type="list" allowBlank="1" showInputMessage="1" showErrorMessage="1" sqref="F2:F4">
      <formula1>"New, Existing"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48"/>
  <sheetViews>
    <sheetView workbookViewId="0"/>
  </sheetViews>
  <sheetFormatPr defaultRowHeight="15" x14ac:dyDescent="0.25"/>
  <cols>
    <col min="1" max="1" width="9.140625" style="5"/>
    <col min="2" max="2" width="77.7109375" style="5" bestFit="1" customWidth="1"/>
    <col min="3" max="3" width="14.42578125" style="5" bestFit="1" customWidth="1"/>
    <col min="4" max="4" width="23.42578125" style="5" bestFit="1" customWidth="1"/>
    <col min="5" max="5" width="27" style="5" bestFit="1" customWidth="1"/>
    <col min="6" max="6" width="28.42578125" style="5" bestFit="1" customWidth="1"/>
    <col min="7" max="7" width="25.85546875" style="5" bestFit="1" customWidth="1"/>
    <col min="8" max="8" width="22.28515625" style="5" bestFit="1" customWidth="1"/>
    <col min="9" max="9" width="18.5703125" style="5" bestFit="1" customWidth="1"/>
    <col min="10" max="10" width="9.140625" style="5"/>
    <col min="11" max="11" width="4.7109375" style="5" customWidth="1"/>
    <col min="12" max="12" width="11.5703125" style="5" bestFit="1" customWidth="1"/>
    <col min="13" max="14" width="9.140625" style="5"/>
    <col min="15" max="15" width="4.140625" style="5" customWidth="1"/>
    <col min="16" max="16" width="11.5703125" style="5" bestFit="1" customWidth="1"/>
    <col min="17" max="17" width="9.140625" style="5"/>
    <col min="18" max="35" width="2.7109375" style="10" customWidth="1"/>
    <col min="36" max="16384" width="9.140625" style="5"/>
  </cols>
  <sheetData>
    <row r="1" spans="1:35" x14ac:dyDescent="0.25">
      <c r="B1" s="42" t="s">
        <v>25</v>
      </c>
      <c r="C1" s="42" t="s">
        <v>26</v>
      </c>
      <c r="D1" s="42" t="s">
        <v>27</v>
      </c>
      <c r="E1" s="42" t="s">
        <v>28</v>
      </c>
      <c r="F1" s="42" t="s">
        <v>29</v>
      </c>
      <c r="G1" s="42" t="s">
        <v>30</v>
      </c>
      <c r="H1" s="42" t="s">
        <v>31</v>
      </c>
      <c r="I1" s="43" t="s">
        <v>32</v>
      </c>
      <c r="K1" s="111" t="s">
        <v>24</v>
      </c>
      <c r="L1" s="111"/>
      <c r="O1" s="111" t="s">
        <v>33</v>
      </c>
      <c r="P1" s="111"/>
    </row>
    <row r="2" spans="1:35" x14ac:dyDescent="0.25">
      <c r="A2" s="5">
        <v>1</v>
      </c>
      <c r="B2" s="6" t="s">
        <v>39</v>
      </c>
      <c r="C2" s="7">
        <v>0.182574185835055</v>
      </c>
      <c r="D2" s="6">
        <v>4</v>
      </c>
      <c r="E2" s="6">
        <v>6</v>
      </c>
      <c r="F2" s="6">
        <v>5</v>
      </c>
      <c r="G2" s="6">
        <v>5</v>
      </c>
      <c r="H2" s="8">
        <v>44548.101343753427</v>
      </c>
      <c r="I2" s="9">
        <f t="shared" ref="I2:I29" si="0">($K$11*$C2*10^$D2)+($K$12*$C2*10^$E2)+($K$13*$C2*10^$F2)+($K$14*$C2*10^$G2)</f>
        <v>44548.101343753427</v>
      </c>
      <c r="K2" s="44">
        <v>7</v>
      </c>
      <c r="L2" s="45">
        <v>31.6227766016838</v>
      </c>
      <c r="M2" s="5">
        <v>7</v>
      </c>
      <c r="O2" s="44">
        <v>7</v>
      </c>
      <c r="P2" s="46">
        <f>10^O2</f>
        <v>10000000</v>
      </c>
    </row>
    <row r="3" spans="1:35" x14ac:dyDescent="0.25">
      <c r="A3" s="5" t="s">
        <v>76</v>
      </c>
      <c r="B3" s="6" t="s">
        <v>74</v>
      </c>
      <c r="C3" s="7">
        <v>5.7735026918962602E-2</v>
      </c>
      <c r="D3" s="6">
        <v>4</v>
      </c>
      <c r="E3" s="6">
        <v>5</v>
      </c>
      <c r="F3" s="6">
        <v>4</v>
      </c>
      <c r="G3" s="6">
        <v>5</v>
      </c>
      <c r="H3" s="8">
        <v>2655.8112382722798</v>
      </c>
      <c r="I3" s="9">
        <f t="shared" si="0"/>
        <v>2655.8112382722798</v>
      </c>
      <c r="K3" s="44">
        <v>6</v>
      </c>
      <c r="L3" s="45">
        <v>3.16227766016838</v>
      </c>
      <c r="M3" s="5">
        <v>6</v>
      </c>
      <c r="O3" s="44">
        <v>6</v>
      </c>
      <c r="P3" s="46">
        <f t="shared" ref="P3:P8" si="1">10^O3</f>
        <v>1000000</v>
      </c>
    </row>
    <row r="4" spans="1:35" ht="18" x14ac:dyDescent="0.25">
      <c r="A4" s="5">
        <v>3</v>
      </c>
      <c r="B4" s="6" t="s">
        <v>40</v>
      </c>
      <c r="C4" s="7">
        <v>0.57735026918962595</v>
      </c>
      <c r="D4" s="6">
        <v>6</v>
      </c>
      <c r="E4" s="6">
        <v>4</v>
      </c>
      <c r="F4" s="6">
        <v>3</v>
      </c>
      <c r="G4" s="6">
        <v>4</v>
      </c>
      <c r="H4" s="8">
        <v>233364.97880644683</v>
      </c>
      <c r="I4" s="9">
        <f t="shared" si="0"/>
        <v>233364.97880644683</v>
      </c>
      <c r="K4" s="44">
        <v>5</v>
      </c>
      <c r="L4" s="45">
        <v>0.57735026918962595</v>
      </c>
      <c r="M4" s="5">
        <v>5</v>
      </c>
      <c r="O4" s="44">
        <v>5</v>
      </c>
      <c r="P4" s="46">
        <f t="shared" si="1"/>
        <v>100000</v>
      </c>
      <c r="T4" s="11" t="s">
        <v>37</v>
      </c>
      <c r="U4" s="47"/>
    </row>
    <row r="5" spans="1:35" x14ac:dyDescent="0.25">
      <c r="A5" s="5">
        <v>4</v>
      </c>
      <c r="B5" s="6" t="s">
        <v>42</v>
      </c>
      <c r="C5" s="7">
        <v>5.7735026918962602E-2</v>
      </c>
      <c r="D5" s="6">
        <v>5</v>
      </c>
      <c r="E5" s="6">
        <v>5</v>
      </c>
      <c r="F5" s="6">
        <v>5</v>
      </c>
      <c r="G5" s="6">
        <v>4</v>
      </c>
      <c r="H5" s="8">
        <v>4734.2722073549339</v>
      </c>
      <c r="I5" s="9">
        <f t="shared" si="0"/>
        <v>4734.2722073549339</v>
      </c>
      <c r="K5" s="44">
        <v>4</v>
      </c>
      <c r="L5" s="45">
        <v>0.182574185835055</v>
      </c>
      <c r="M5" s="5">
        <v>4</v>
      </c>
      <c r="O5" s="44">
        <v>4</v>
      </c>
      <c r="P5" s="46">
        <f t="shared" si="1"/>
        <v>10000</v>
      </c>
      <c r="T5" s="112" t="s">
        <v>18</v>
      </c>
      <c r="U5" s="112"/>
      <c r="V5" s="112"/>
      <c r="W5" s="112"/>
      <c r="X5" s="112"/>
      <c r="Y5" s="112"/>
      <c r="Z5" s="112"/>
      <c r="AC5" s="112" t="s">
        <v>20</v>
      </c>
      <c r="AD5" s="112"/>
      <c r="AE5" s="112"/>
      <c r="AF5" s="112"/>
      <c r="AG5" s="112"/>
      <c r="AH5" s="112"/>
      <c r="AI5" s="112"/>
    </row>
    <row r="6" spans="1:35" x14ac:dyDescent="0.25">
      <c r="A6" s="5">
        <v>5</v>
      </c>
      <c r="B6" s="6" t="s">
        <v>43</v>
      </c>
      <c r="C6" s="7">
        <v>0.57735026918962595</v>
      </c>
      <c r="D6" s="6">
        <v>4</v>
      </c>
      <c r="E6" s="6">
        <v>4</v>
      </c>
      <c r="F6" s="6">
        <v>4</v>
      </c>
      <c r="G6" s="6">
        <v>4</v>
      </c>
      <c r="H6" s="8">
        <v>5773.5026918962594</v>
      </c>
      <c r="I6" s="9">
        <f t="shared" si="0"/>
        <v>5773.5026918962594</v>
      </c>
      <c r="K6" s="44">
        <v>3</v>
      </c>
      <c r="L6" s="45">
        <v>5.7735026918962602E-2</v>
      </c>
      <c r="M6" s="5">
        <v>3</v>
      </c>
      <c r="O6" s="44">
        <v>3</v>
      </c>
      <c r="P6" s="46">
        <f t="shared" si="1"/>
        <v>1000</v>
      </c>
      <c r="R6" s="113" t="s">
        <v>1</v>
      </c>
      <c r="S6" s="48">
        <v>7</v>
      </c>
      <c r="T6" s="49" t="s">
        <v>83</v>
      </c>
      <c r="U6" s="49" t="s">
        <v>83</v>
      </c>
      <c r="V6" s="49" t="s">
        <v>83</v>
      </c>
      <c r="W6" s="49" t="s">
        <v>83</v>
      </c>
      <c r="X6" s="49" t="s">
        <v>83</v>
      </c>
      <c r="Y6" s="49" t="s">
        <v>83</v>
      </c>
      <c r="Z6" s="49" t="s">
        <v>83</v>
      </c>
      <c r="AB6" s="48">
        <v>7</v>
      </c>
      <c r="AC6" s="49" t="s">
        <v>83</v>
      </c>
      <c r="AD6" s="49" t="s">
        <v>83</v>
      </c>
      <c r="AE6" s="49" t="s">
        <v>83</v>
      </c>
      <c r="AF6" s="49" t="s">
        <v>83</v>
      </c>
      <c r="AG6" s="49" t="s">
        <v>83</v>
      </c>
      <c r="AH6" s="49" t="s">
        <v>83</v>
      </c>
      <c r="AI6" s="49" t="s">
        <v>83</v>
      </c>
    </row>
    <row r="7" spans="1:35" x14ac:dyDescent="0.25">
      <c r="A7" s="5">
        <v>6</v>
      </c>
      <c r="B7" s="6" t="s">
        <v>45</v>
      </c>
      <c r="C7" s="7">
        <v>5.7735026918962602E-2</v>
      </c>
      <c r="D7" s="6">
        <v>6</v>
      </c>
      <c r="E7" s="6">
        <v>1</v>
      </c>
      <c r="F7" s="6">
        <v>2</v>
      </c>
      <c r="G7" s="6">
        <v>3</v>
      </c>
      <c r="H7" s="8">
        <v>23106.827943561053</v>
      </c>
      <c r="I7" s="9">
        <f t="shared" si="0"/>
        <v>23106.827943561053</v>
      </c>
      <c r="K7" s="44">
        <v>2</v>
      </c>
      <c r="L7" s="45">
        <v>1.8257418583505498E-2</v>
      </c>
      <c r="M7" s="5">
        <v>2</v>
      </c>
      <c r="O7" s="44">
        <v>2</v>
      </c>
      <c r="P7" s="46">
        <f t="shared" si="1"/>
        <v>100</v>
      </c>
      <c r="R7" s="113"/>
      <c r="S7" s="48">
        <v>6</v>
      </c>
      <c r="T7" s="49" t="s">
        <v>83</v>
      </c>
      <c r="U7" s="49" t="s">
        <v>83</v>
      </c>
      <c r="V7" s="49" t="s">
        <v>83</v>
      </c>
      <c r="W7" s="49" t="s">
        <v>83</v>
      </c>
      <c r="X7" s="49" t="s">
        <v>83</v>
      </c>
      <c r="Y7" s="49" t="s">
        <v>83</v>
      </c>
      <c r="Z7" s="49" t="s">
        <v>83</v>
      </c>
      <c r="AB7" s="48">
        <v>6</v>
      </c>
      <c r="AC7" s="49" t="s">
        <v>83</v>
      </c>
      <c r="AD7" s="49" t="s">
        <v>83</v>
      </c>
      <c r="AE7" s="49" t="s">
        <v>83</v>
      </c>
      <c r="AF7" s="49" t="s">
        <v>83</v>
      </c>
      <c r="AG7" s="49" t="s">
        <v>83</v>
      </c>
      <c r="AH7" s="49" t="s">
        <v>83</v>
      </c>
      <c r="AI7" s="49" t="s">
        <v>83</v>
      </c>
    </row>
    <row r="8" spans="1:35" x14ac:dyDescent="0.25">
      <c r="A8" s="5">
        <v>7</v>
      </c>
      <c r="B8" s="6" t="s">
        <v>51</v>
      </c>
      <c r="C8" s="7">
        <v>0.182574185835055</v>
      </c>
      <c r="D8" s="6">
        <v>4</v>
      </c>
      <c r="E8" s="6">
        <v>6</v>
      </c>
      <c r="F8" s="6">
        <v>5</v>
      </c>
      <c r="G8" s="6">
        <v>5</v>
      </c>
      <c r="H8" s="8">
        <v>44548.101343753427</v>
      </c>
      <c r="I8" s="9">
        <f t="shared" si="0"/>
        <v>44548.101343753427</v>
      </c>
      <c r="K8" s="44">
        <v>1</v>
      </c>
      <c r="L8" s="45">
        <v>5.4772255750516604E-3</v>
      </c>
      <c r="M8" s="5">
        <v>1</v>
      </c>
      <c r="O8" s="44">
        <v>1</v>
      </c>
      <c r="P8" s="46">
        <f t="shared" si="1"/>
        <v>10</v>
      </c>
      <c r="R8" s="113"/>
      <c r="S8" s="48">
        <v>5</v>
      </c>
      <c r="T8" s="49" t="s">
        <v>83</v>
      </c>
      <c r="U8" s="49" t="s">
        <v>83</v>
      </c>
      <c r="V8" s="49" t="s">
        <v>83</v>
      </c>
      <c r="W8" s="49" t="s">
        <v>83</v>
      </c>
      <c r="X8" s="49" t="s">
        <v>83</v>
      </c>
      <c r="Y8" s="49" t="s">
        <v>83</v>
      </c>
      <c r="Z8" s="49" t="s">
        <v>83</v>
      </c>
      <c r="AB8" s="48">
        <v>5</v>
      </c>
      <c r="AC8" s="49" t="s">
        <v>83</v>
      </c>
      <c r="AD8" s="49" t="s">
        <v>83</v>
      </c>
      <c r="AE8" s="49" t="s">
        <v>83</v>
      </c>
      <c r="AF8" s="49" t="s">
        <v>83</v>
      </c>
      <c r="AG8" s="49" t="s">
        <v>83</v>
      </c>
      <c r="AH8" s="49" t="s">
        <v>83</v>
      </c>
      <c r="AI8" s="49" t="s">
        <v>83</v>
      </c>
    </row>
    <row r="9" spans="1:35" x14ac:dyDescent="0.25">
      <c r="A9" s="5">
        <v>9</v>
      </c>
      <c r="B9" s="6" t="s">
        <v>55</v>
      </c>
      <c r="C9" s="7">
        <v>0.182574185835055</v>
      </c>
      <c r="D9" s="6">
        <v>6</v>
      </c>
      <c r="E9" s="6">
        <v>4</v>
      </c>
      <c r="F9" s="6">
        <v>4</v>
      </c>
      <c r="G9" s="6">
        <v>3</v>
      </c>
      <c r="H9" s="8">
        <v>73796.485914529228</v>
      </c>
      <c r="I9" s="9">
        <f t="shared" si="0"/>
        <v>73796.485914529228</v>
      </c>
      <c r="R9" s="113"/>
      <c r="S9" s="48">
        <v>4</v>
      </c>
      <c r="T9" s="49" t="s">
        <v>83</v>
      </c>
      <c r="U9" s="49" t="s">
        <v>83</v>
      </c>
      <c r="V9" s="49" t="s">
        <v>83</v>
      </c>
      <c r="W9" s="49" t="s">
        <v>83</v>
      </c>
      <c r="X9" s="49" t="s">
        <v>83</v>
      </c>
      <c r="Y9" s="49" t="s">
        <v>83</v>
      </c>
      <c r="Z9" s="49" t="s">
        <v>83</v>
      </c>
      <c r="AB9" s="48">
        <v>4</v>
      </c>
      <c r="AC9" s="49" t="s">
        <v>83</v>
      </c>
      <c r="AD9" s="49" t="s">
        <v>83</v>
      </c>
      <c r="AE9" s="49" t="s">
        <v>83</v>
      </c>
      <c r="AF9" s="49" t="s">
        <v>83</v>
      </c>
      <c r="AG9" s="49" t="s">
        <v>83</v>
      </c>
      <c r="AH9" s="49" t="s">
        <v>83</v>
      </c>
      <c r="AI9" s="49" t="s">
        <v>83</v>
      </c>
    </row>
    <row r="10" spans="1:35" x14ac:dyDescent="0.25">
      <c r="A10" s="5">
        <v>10</v>
      </c>
      <c r="B10" s="6" t="s">
        <v>59</v>
      </c>
      <c r="C10" s="7">
        <v>5.7735026918962602E-2</v>
      </c>
      <c r="D10" s="6">
        <v>5</v>
      </c>
      <c r="E10" s="6">
        <v>5</v>
      </c>
      <c r="F10" s="6">
        <v>5</v>
      </c>
      <c r="G10" s="6">
        <v>4</v>
      </c>
      <c r="H10" s="8">
        <v>4734.2722073549339</v>
      </c>
      <c r="I10" s="9">
        <f t="shared" si="0"/>
        <v>4734.2722073549339</v>
      </c>
      <c r="K10" s="111" t="s">
        <v>44</v>
      </c>
      <c r="L10" s="111"/>
      <c r="R10" s="113"/>
      <c r="S10" s="48">
        <v>3</v>
      </c>
      <c r="T10" s="49" t="s">
        <v>83</v>
      </c>
      <c r="U10" s="49" t="s">
        <v>83</v>
      </c>
      <c r="V10" s="49" t="s">
        <v>83</v>
      </c>
      <c r="W10" s="49" t="s">
        <v>83</v>
      </c>
      <c r="X10" s="49">
        <v>1</v>
      </c>
      <c r="Y10" s="49" t="s">
        <v>83</v>
      </c>
      <c r="Z10" s="49" t="s">
        <v>83</v>
      </c>
      <c r="AB10" s="48">
        <v>3</v>
      </c>
      <c r="AC10" s="49" t="s">
        <v>83</v>
      </c>
      <c r="AD10" s="49" t="s">
        <v>83</v>
      </c>
      <c r="AE10" s="49">
        <v>1</v>
      </c>
      <c r="AF10" s="49" t="s">
        <v>83</v>
      </c>
      <c r="AG10" s="49" t="s">
        <v>83</v>
      </c>
      <c r="AH10" s="49" t="s">
        <v>83</v>
      </c>
      <c r="AI10" s="49" t="s">
        <v>83</v>
      </c>
    </row>
    <row r="11" spans="1:35" x14ac:dyDescent="0.25">
      <c r="A11" s="5">
        <v>11</v>
      </c>
      <c r="B11" s="6" t="s">
        <v>63</v>
      </c>
      <c r="C11" s="7">
        <v>5.7735026918962602E-2</v>
      </c>
      <c r="D11" s="6">
        <v>4</v>
      </c>
      <c r="E11" s="6">
        <v>3</v>
      </c>
      <c r="F11" s="6">
        <v>3</v>
      </c>
      <c r="G11" s="6">
        <v>2</v>
      </c>
      <c r="H11" s="8">
        <v>255.18881898181468</v>
      </c>
      <c r="I11" s="9">
        <f t="shared" si="0"/>
        <v>255.18881898181468</v>
      </c>
      <c r="K11" s="4">
        <v>0.4</v>
      </c>
      <c r="L11" s="2" t="s">
        <v>18</v>
      </c>
      <c r="R11" s="113"/>
      <c r="S11" s="48">
        <v>2</v>
      </c>
      <c r="T11" s="49" t="s">
        <v>83</v>
      </c>
      <c r="U11" s="49" t="s">
        <v>83</v>
      </c>
      <c r="V11" s="49" t="s">
        <v>83</v>
      </c>
      <c r="W11" s="49" t="s">
        <v>83</v>
      </c>
      <c r="X11" s="49" t="s">
        <v>83</v>
      </c>
      <c r="Y11" s="49" t="s">
        <v>83</v>
      </c>
      <c r="Z11" s="49" t="s">
        <v>83</v>
      </c>
      <c r="AB11" s="48">
        <v>2</v>
      </c>
      <c r="AC11" s="49" t="s">
        <v>83</v>
      </c>
      <c r="AD11" s="49" t="s">
        <v>83</v>
      </c>
      <c r="AE11" s="49" t="s">
        <v>83</v>
      </c>
      <c r="AF11" s="49" t="s">
        <v>83</v>
      </c>
      <c r="AG11" s="49" t="s">
        <v>83</v>
      </c>
      <c r="AH11" s="49" t="s">
        <v>83</v>
      </c>
      <c r="AI11" s="49" t="s">
        <v>83</v>
      </c>
    </row>
    <row r="12" spans="1:35" x14ac:dyDescent="0.25">
      <c r="A12" s="5">
        <v>12</v>
      </c>
      <c r="B12" s="6" t="s">
        <v>64</v>
      </c>
      <c r="C12" s="7">
        <v>5.7735026918962602E-2</v>
      </c>
      <c r="D12" s="6">
        <v>6</v>
      </c>
      <c r="E12" s="6">
        <v>1</v>
      </c>
      <c r="F12" s="6">
        <v>2</v>
      </c>
      <c r="G12" s="6">
        <v>3</v>
      </c>
      <c r="H12" s="8">
        <v>23106.827943561053</v>
      </c>
      <c r="I12" s="9">
        <f t="shared" si="0"/>
        <v>23106.827943561053</v>
      </c>
      <c r="K12" s="4">
        <v>0.2</v>
      </c>
      <c r="L12" s="2" t="s">
        <v>19</v>
      </c>
      <c r="R12" s="113"/>
      <c r="S12" s="48">
        <v>1</v>
      </c>
      <c r="T12" s="49" t="s">
        <v>83</v>
      </c>
      <c r="U12" s="49" t="s">
        <v>83</v>
      </c>
      <c r="V12" s="49" t="s">
        <v>83</v>
      </c>
      <c r="W12" s="49" t="s">
        <v>83</v>
      </c>
      <c r="X12" s="49" t="s">
        <v>83</v>
      </c>
      <c r="Y12" s="49" t="s">
        <v>83</v>
      </c>
      <c r="Z12" s="49" t="s">
        <v>83</v>
      </c>
      <c r="AB12" s="48">
        <v>1</v>
      </c>
      <c r="AC12" s="49" t="s">
        <v>83</v>
      </c>
      <c r="AD12" s="49" t="s">
        <v>83</v>
      </c>
      <c r="AE12" s="49" t="s">
        <v>83</v>
      </c>
      <c r="AF12" s="49" t="s">
        <v>83</v>
      </c>
      <c r="AG12" s="49" t="s">
        <v>83</v>
      </c>
      <c r="AH12" s="49" t="s">
        <v>83</v>
      </c>
      <c r="AI12" s="49" t="s">
        <v>83</v>
      </c>
    </row>
    <row r="13" spans="1:35" x14ac:dyDescent="0.25">
      <c r="A13" s="5">
        <v>13</v>
      </c>
      <c r="B13" s="6" t="s">
        <v>46</v>
      </c>
      <c r="C13" s="7">
        <v>5.7735026918962602E-2</v>
      </c>
      <c r="D13" s="6">
        <v>6</v>
      </c>
      <c r="E13" s="6">
        <v>2</v>
      </c>
      <c r="F13" s="6">
        <v>2</v>
      </c>
      <c r="G13" s="6">
        <v>3</v>
      </c>
      <c r="H13" s="8">
        <v>23107.867174045594</v>
      </c>
      <c r="I13" s="9">
        <f t="shared" si="0"/>
        <v>23107.867174045594</v>
      </c>
      <c r="K13" s="4">
        <v>0.2</v>
      </c>
      <c r="L13" s="2" t="s">
        <v>20</v>
      </c>
      <c r="T13" s="50">
        <v>1</v>
      </c>
      <c r="U13" s="50">
        <v>2</v>
      </c>
      <c r="V13" s="50">
        <v>3</v>
      </c>
      <c r="W13" s="50">
        <v>4</v>
      </c>
      <c r="X13" s="50">
        <v>5</v>
      </c>
      <c r="Y13" s="50">
        <v>6</v>
      </c>
      <c r="Z13" s="50">
        <v>7</v>
      </c>
      <c r="AC13" s="50">
        <v>1</v>
      </c>
      <c r="AD13" s="50">
        <v>2</v>
      </c>
      <c r="AE13" s="50">
        <v>3</v>
      </c>
      <c r="AF13" s="50">
        <v>4</v>
      </c>
      <c r="AG13" s="50">
        <v>5</v>
      </c>
      <c r="AH13" s="50">
        <v>6</v>
      </c>
      <c r="AI13" s="50">
        <v>7</v>
      </c>
    </row>
    <row r="14" spans="1:35" x14ac:dyDescent="0.25">
      <c r="A14" s="5">
        <v>14</v>
      </c>
      <c r="B14" s="6" t="s">
        <v>53</v>
      </c>
      <c r="C14" s="7">
        <v>0.182574185835055</v>
      </c>
      <c r="D14" s="6">
        <v>6</v>
      </c>
      <c r="E14" s="6">
        <v>3</v>
      </c>
      <c r="F14" s="6">
        <v>3</v>
      </c>
      <c r="G14" s="6">
        <v>3</v>
      </c>
      <c r="H14" s="8">
        <v>73139.218845523035</v>
      </c>
      <c r="I14" s="9">
        <f t="shared" si="0"/>
        <v>73139.218845523035</v>
      </c>
      <c r="K14" s="4">
        <v>0.2</v>
      </c>
      <c r="L14" s="2" t="s">
        <v>0</v>
      </c>
      <c r="T14" s="110" t="s">
        <v>49</v>
      </c>
      <c r="U14" s="110"/>
      <c r="V14" s="110"/>
      <c r="W14" s="110"/>
      <c r="X14" s="110"/>
      <c r="Y14" s="110"/>
      <c r="Z14" s="110"/>
      <c r="AC14" s="110" t="s">
        <v>49</v>
      </c>
      <c r="AD14" s="110"/>
      <c r="AE14" s="110"/>
      <c r="AF14" s="110"/>
      <c r="AG14" s="110"/>
      <c r="AH14" s="110"/>
      <c r="AI14" s="110"/>
    </row>
    <row r="15" spans="1:35" x14ac:dyDescent="0.25">
      <c r="A15" s="5">
        <v>15</v>
      </c>
      <c r="B15" s="6" t="s">
        <v>54</v>
      </c>
      <c r="C15" s="7">
        <v>0.182574185835055</v>
      </c>
      <c r="D15" s="6">
        <v>4</v>
      </c>
      <c r="E15" s="6">
        <v>4</v>
      </c>
      <c r="F15" s="6">
        <v>5</v>
      </c>
      <c r="G15" s="6">
        <v>4</v>
      </c>
      <c r="H15" s="8">
        <v>5112.077203381541</v>
      </c>
      <c r="I15" s="9">
        <f t="shared" si="0"/>
        <v>5112.077203381541</v>
      </c>
    </row>
    <row r="16" spans="1:35" x14ac:dyDescent="0.25">
      <c r="A16" s="5">
        <v>16</v>
      </c>
      <c r="B16" s="6" t="s">
        <v>56</v>
      </c>
      <c r="C16" s="7">
        <v>1.8257418583505498E-2</v>
      </c>
      <c r="D16" s="6">
        <v>6</v>
      </c>
      <c r="E16" s="6">
        <v>7</v>
      </c>
      <c r="F16" s="6">
        <v>5</v>
      </c>
      <c r="G16" s="6">
        <v>5</v>
      </c>
      <c r="H16" s="8">
        <v>44548.10134375342</v>
      </c>
      <c r="I16" s="9">
        <f t="shared" si="0"/>
        <v>44548.10134375342</v>
      </c>
      <c r="T16" s="112" t="s">
        <v>19</v>
      </c>
      <c r="U16" s="112"/>
      <c r="V16" s="112"/>
      <c r="W16" s="112"/>
      <c r="X16" s="112"/>
      <c r="Y16" s="112"/>
      <c r="Z16" s="112"/>
      <c r="AC16" s="112" t="s">
        <v>52</v>
      </c>
      <c r="AD16" s="112"/>
      <c r="AE16" s="112"/>
      <c r="AF16" s="112"/>
      <c r="AG16" s="112"/>
      <c r="AH16" s="112"/>
      <c r="AI16" s="112"/>
    </row>
    <row r="17" spans="1:35" x14ac:dyDescent="0.25">
      <c r="A17" s="5">
        <v>17</v>
      </c>
      <c r="B17" s="6" t="s">
        <v>57</v>
      </c>
      <c r="C17" s="7">
        <v>1.8257418583505498E-2</v>
      </c>
      <c r="D17" s="6">
        <v>6</v>
      </c>
      <c r="E17" s="6">
        <v>7</v>
      </c>
      <c r="F17" s="6">
        <v>5</v>
      </c>
      <c r="G17" s="6">
        <v>5</v>
      </c>
      <c r="H17" s="8">
        <v>44548.10134375342</v>
      </c>
      <c r="I17" s="9">
        <f t="shared" si="0"/>
        <v>44548.10134375342</v>
      </c>
      <c r="R17" s="113" t="s">
        <v>1</v>
      </c>
      <c r="S17" s="48">
        <v>7</v>
      </c>
      <c r="T17" s="49" t="s">
        <v>83</v>
      </c>
      <c r="U17" s="49" t="s">
        <v>83</v>
      </c>
      <c r="V17" s="49" t="s">
        <v>83</v>
      </c>
      <c r="W17" s="49" t="s">
        <v>83</v>
      </c>
      <c r="X17" s="49" t="s">
        <v>83</v>
      </c>
      <c r="Y17" s="49" t="s">
        <v>83</v>
      </c>
      <c r="Z17" s="49" t="s">
        <v>83</v>
      </c>
      <c r="AB17" s="48">
        <v>7</v>
      </c>
      <c r="AC17" s="49" t="s">
        <v>83</v>
      </c>
      <c r="AD17" s="49" t="s">
        <v>83</v>
      </c>
      <c r="AE17" s="49" t="s">
        <v>83</v>
      </c>
      <c r="AF17" s="49" t="s">
        <v>83</v>
      </c>
      <c r="AG17" s="49" t="s">
        <v>83</v>
      </c>
      <c r="AH17" s="49" t="s">
        <v>83</v>
      </c>
      <c r="AI17" s="49" t="s">
        <v>83</v>
      </c>
    </row>
    <row r="18" spans="1:35" x14ac:dyDescent="0.25">
      <c r="A18" s="5">
        <v>18</v>
      </c>
      <c r="B18" s="6" t="s">
        <v>58</v>
      </c>
      <c r="C18" s="7">
        <v>5.7735026918962602E-2</v>
      </c>
      <c r="D18" s="6">
        <v>5</v>
      </c>
      <c r="E18" s="6">
        <v>3</v>
      </c>
      <c r="F18" s="6">
        <v>3</v>
      </c>
      <c r="G18" s="6">
        <v>3</v>
      </c>
      <c r="H18" s="8">
        <v>2344.0420929098818</v>
      </c>
      <c r="I18" s="9">
        <f t="shared" si="0"/>
        <v>2344.0420929098818</v>
      </c>
      <c r="R18" s="113"/>
      <c r="S18" s="48">
        <v>6</v>
      </c>
      <c r="T18" s="49" t="s">
        <v>83</v>
      </c>
      <c r="U18" s="49" t="s">
        <v>83</v>
      </c>
      <c r="V18" s="49" t="s">
        <v>83</v>
      </c>
      <c r="W18" s="49" t="s">
        <v>83</v>
      </c>
      <c r="X18" s="49" t="s">
        <v>83</v>
      </c>
      <c r="Y18" s="49" t="s">
        <v>83</v>
      </c>
      <c r="Z18" s="49" t="s">
        <v>83</v>
      </c>
      <c r="AB18" s="48">
        <v>6</v>
      </c>
      <c r="AC18" s="49" t="s">
        <v>83</v>
      </c>
      <c r="AD18" s="49" t="s">
        <v>83</v>
      </c>
      <c r="AE18" s="49" t="s">
        <v>83</v>
      </c>
      <c r="AF18" s="49" t="s">
        <v>83</v>
      </c>
      <c r="AG18" s="49" t="s">
        <v>83</v>
      </c>
      <c r="AH18" s="49" t="s">
        <v>83</v>
      </c>
      <c r="AI18" s="49" t="s">
        <v>83</v>
      </c>
    </row>
    <row r="19" spans="1:35" x14ac:dyDescent="0.25">
      <c r="A19" s="5">
        <v>19</v>
      </c>
      <c r="B19" s="6" t="s">
        <v>75</v>
      </c>
      <c r="C19" s="7">
        <v>1.8257418583505498E-2</v>
      </c>
      <c r="D19" s="6">
        <v>6</v>
      </c>
      <c r="E19" s="6">
        <v>4</v>
      </c>
      <c r="F19" s="6">
        <v>3</v>
      </c>
      <c r="G19" s="6">
        <v>4</v>
      </c>
      <c r="H19" s="8">
        <v>7379.6485914529239</v>
      </c>
      <c r="I19" s="9">
        <f t="shared" si="0"/>
        <v>7379.6485914529239</v>
      </c>
      <c r="R19" s="113"/>
      <c r="S19" s="48">
        <v>5</v>
      </c>
      <c r="T19" s="49" t="s">
        <v>83</v>
      </c>
      <c r="U19" s="49" t="s">
        <v>83</v>
      </c>
      <c r="V19" s="49" t="s">
        <v>83</v>
      </c>
      <c r="W19" s="49" t="s">
        <v>83</v>
      </c>
      <c r="X19" s="49" t="s">
        <v>83</v>
      </c>
      <c r="Y19" s="49" t="s">
        <v>83</v>
      </c>
      <c r="Z19" s="49" t="s">
        <v>83</v>
      </c>
      <c r="AB19" s="48">
        <v>5</v>
      </c>
      <c r="AC19" s="49" t="s">
        <v>83</v>
      </c>
      <c r="AD19" s="49" t="s">
        <v>83</v>
      </c>
      <c r="AE19" s="49" t="s">
        <v>83</v>
      </c>
      <c r="AF19" s="49" t="s">
        <v>83</v>
      </c>
      <c r="AG19" s="49" t="s">
        <v>83</v>
      </c>
      <c r="AH19" s="49" t="s">
        <v>83</v>
      </c>
      <c r="AI19" s="49" t="s">
        <v>83</v>
      </c>
    </row>
    <row r="20" spans="1:35" x14ac:dyDescent="0.25">
      <c r="A20" s="5">
        <v>20</v>
      </c>
      <c r="B20" s="6" t="s">
        <v>61</v>
      </c>
      <c r="C20" s="7">
        <v>0.57735026918962595</v>
      </c>
      <c r="D20" s="6">
        <v>7</v>
      </c>
      <c r="E20" s="6">
        <v>6</v>
      </c>
      <c r="F20" s="6">
        <v>5</v>
      </c>
      <c r="G20" s="6">
        <v>6</v>
      </c>
      <c r="H20" s="8">
        <v>2551888.1898181466</v>
      </c>
      <c r="I20" s="9">
        <f t="shared" si="0"/>
        <v>2551888.1898181466</v>
      </c>
      <c r="R20" s="113"/>
      <c r="S20" s="48">
        <v>4</v>
      </c>
      <c r="T20" s="49" t="s">
        <v>83</v>
      </c>
      <c r="U20" s="49" t="s">
        <v>83</v>
      </c>
      <c r="V20" s="49" t="s">
        <v>83</v>
      </c>
      <c r="W20" s="49" t="s">
        <v>83</v>
      </c>
      <c r="X20" s="49" t="s">
        <v>83</v>
      </c>
      <c r="Y20" s="49" t="s">
        <v>83</v>
      </c>
      <c r="Z20" s="49" t="s">
        <v>83</v>
      </c>
      <c r="AB20" s="48">
        <v>4</v>
      </c>
      <c r="AC20" s="49" t="s">
        <v>83</v>
      </c>
      <c r="AD20" s="49" t="s">
        <v>83</v>
      </c>
      <c r="AE20" s="49" t="s">
        <v>83</v>
      </c>
      <c r="AF20" s="49" t="s">
        <v>83</v>
      </c>
      <c r="AG20" s="49" t="s">
        <v>83</v>
      </c>
      <c r="AH20" s="49" t="s">
        <v>83</v>
      </c>
      <c r="AI20" s="49" t="s">
        <v>83</v>
      </c>
    </row>
    <row r="21" spans="1:35" x14ac:dyDescent="0.25">
      <c r="A21" s="5">
        <v>21</v>
      </c>
      <c r="B21" s="6" t="s">
        <v>34</v>
      </c>
      <c r="C21" s="7">
        <v>0.57735026918962595</v>
      </c>
      <c r="D21" s="6">
        <v>6</v>
      </c>
      <c r="E21" s="6">
        <v>4</v>
      </c>
      <c r="F21" s="6">
        <v>3</v>
      </c>
      <c r="G21" s="6">
        <v>4</v>
      </c>
      <c r="H21" s="8">
        <v>233364.97880644683</v>
      </c>
      <c r="I21" s="9">
        <f t="shared" si="0"/>
        <v>233364.97880644683</v>
      </c>
      <c r="R21" s="113"/>
      <c r="S21" s="48">
        <v>3</v>
      </c>
      <c r="T21" s="49" t="s">
        <v>83</v>
      </c>
      <c r="U21" s="49" t="s">
        <v>83</v>
      </c>
      <c r="V21" s="49">
        <v>1</v>
      </c>
      <c r="W21" s="49" t="s">
        <v>83</v>
      </c>
      <c r="X21" s="49" t="s">
        <v>83</v>
      </c>
      <c r="Y21" s="49" t="s">
        <v>83</v>
      </c>
      <c r="Z21" s="49" t="s">
        <v>83</v>
      </c>
      <c r="AB21" s="48">
        <v>3</v>
      </c>
      <c r="AC21" s="49" t="s">
        <v>83</v>
      </c>
      <c r="AD21" s="49" t="s">
        <v>83</v>
      </c>
      <c r="AE21" s="49">
        <v>1</v>
      </c>
      <c r="AF21" s="49" t="s">
        <v>83</v>
      </c>
      <c r="AG21" s="49" t="s">
        <v>83</v>
      </c>
      <c r="AH21" s="49" t="s">
        <v>83</v>
      </c>
      <c r="AI21" s="49" t="s">
        <v>83</v>
      </c>
    </row>
    <row r="22" spans="1:35" x14ac:dyDescent="0.25">
      <c r="A22" s="5">
        <v>22</v>
      </c>
      <c r="B22" s="6" t="s">
        <v>35</v>
      </c>
      <c r="C22" s="7">
        <v>5.7735026918962602E-2</v>
      </c>
      <c r="D22" s="6">
        <v>6</v>
      </c>
      <c r="E22" s="6">
        <v>5</v>
      </c>
      <c r="F22" s="6">
        <v>5</v>
      </c>
      <c r="G22" s="6">
        <v>6</v>
      </c>
      <c r="H22" s="8">
        <v>36950.417228136066</v>
      </c>
      <c r="I22" s="9">
        <f t="shared" si="0"/>
        <v>36950.417228136066</v>
      </c>
      <c r="R22" s="113"/>
      <c r="S22" s="48">
        <v>2</v>
      </c>
      <c r="T22" s="49" t="s">
        <v>83</v>
      </c>
      <c r="U22" s="49" t="s">
        <v>83</v>
      </c>
      <c r="V22" s="49" t="s">
        <v>83</v>
      </c>
      <c r="W22" s="49" t="s">
        <v>83</v>
      </c>
      <c r="X22" s="49" t="s">
        <v>83</v>
      </c>
      <c r="Y22" s="49" t="s">
        <v>83</v>
      </c>
      <c r="Z22" s="49" t="s">
        <v>83</v>
      </c>
      <c r="AB22" s="48">
        <v>2</v>
      </c>
      <c r="AC22" s="49" t="s">
        <v>83</v>
      </c>
      <c r="AD22" s="49" t="s">
        <v>83</v>
      </c>
      <c r="AE22" s="49" t="s">
        <v>83</v>
      </c>
      <c r="AF22" s="49" t="s">
        <v>83</v>
      </c>
      <c r="AG22" s="49" t="s">
        <v>83</v>
      </c>
      <c r="AH22" s="49" t="s">
        <v>83</v>
      </c>
      <c r="AI22" s="49" t="s">
        <v>83</v>
      </c>
    </row>
    <row r="23" spans="1:35" x14ac:dyDescent="0.25">
      <c r="A23" s="5">
        <v>23</v>
      </c>
      <c r="B23" s="6" t="s">
        <v>36</v>
      </c>
      <c r="C23" s="7">
        <v>5.7735026918962602E-2</v>
      </c>
      <c r="D23" s="6">
        <v>5</v>
      </c>
      <c r="E23" s="6">
        <v>3</v>
      </c>
      <c r="F23" s="6">
        <v>3</v>
      </c>
      <c r="G23" s="6">
        <v>3</v>
      </c>
      <c r="H23" s="8">
        <v>2344.0420929098818</v>
      </c>
      <c r="I23" s="9">
        <f t="shared" si="0"/>
        <v>2344.0420929098818</v>
      </c>
      <c r="R23" s="113"/>
      <c r="S23" s="48">
        <v>1</v>
      </c>
      <c r="T23" s="49" t="s">
        <v>83</v>
      </c>
      <c r="U23" s="49" t="s">
        <v>83</v>
      </c>
      <c r="V23" s="49" t="s">
        <v>83</v>
      </c>
      <c r="W23" s="49" t="s">
        <v>83</v>
      </c>
      <c r="X23" s="49" t="s">
        <v>83</v>
      </c>
      <c r="Y23" s="49" t="s">
        <v>83</v>
      </c>
      <c r="Z23" s="49" t="s">
        <v>83</v>
      </c>
      <c r="AB23" s="48">
        <v>1</v>
      </c>
      <c r="AC23" s="49" t="s">
        <v>83</v>
      </c>
      <c r="AD23" s="49" t="s">
        <v>83</v>
      </c>
      <c r="AE23" s="49" t="s">
        <v>83</v>
      </c>
      <c r="AF23" s="49" t="s">
        <v>83</v>
      </c>
      <c r="AG23" s="49" t="s">
        <v>83</v>
      </c>
      <c r="AH23" s="49" t="s">
        <v>83</v>
      </c>
      <c r="AI23" s="49" t="s">
        <v>83</v>
      </c>
    </row>
    <row r="24" spans="1:35" x14ac:dyDescent="0.25">
      <c r="A24" s="5">
        <v>24</v>
      </c>
      <c r="B24" s="6" t="s">
        <v>38</v>
      </c>
      <c r="C24" s="7">
        <v>1.8257418583505498E-2</v>
      </c>
      <c r="D24" s="6">
        <v>5</v>
      </c>
      <c r="E24" s="6">
        <v>5</v>
      </c>
      <c r="F24" s="6">
        <v>5</v>
      </c>
      <c r="G24" s="6">
        <v>5</v>
      </c>
      <c r="H24" s="8">
        <v>1825.74185835055</v>
      </c>
      <c r="I24" s="9">
        <f t="shared" si="0"/>
        <v>1825.74185835055</v>
      </c>
      <c r="T24" s="50">
        <v>1</v>
      </c>
      <c r="U24" s="50">
        <v>2</v>
      </c>
      <c r="V24" s="50">
        <v>3</v>
      </c>
      <c r="W24" s="50">
        <v>4</v>
      </c>
      <c r="X24" s="50">
        <v>5</v>
      </c>
      <c r="Y24" s="50">
        <v>6</v>
      </c>
      <c r="Z24" s="50">
        <v>7</v>
      </c>
      <c r="AC24" s="50">
        <v>1</v>
      </c>
      <c r="AD24" s="50">
        <v>2</v>
      </c>
      <c r="AE24" s="50">
        <v>3</v>
      </c>
      <c r="AF24" s="50">
        <v>4</v>
      </c>
      <c r="AG24" s="50">
        <v>5</v>
      </c>
      <c r="AH24" s="50">
        <v>6</v>
      </c>
      <c r="AI24" s="50">
        <v>7</v>
      </c>
    </row>
    <row r="25" spans="1:35" x14ac:dyDescent="0.25">
      <c r="A25" s="5">
        <v>25</v>
      </c>
      <c r="B25" s="6" t="s">
        <v>41</v>
      </c>
      <c r="C25" s="7">
        <v>5.7735026918962602E-2</v>
      </c>
      <c r="D25" s="6">
        <v>5</v>
      </c>
      <c r="E25" s="6">
        <v>6</v>
      </c>
      <c r="F25" s="6">
        <v>4</v>
      </c>
      <c r="G25" s="6">
        <v>4</v>
      </c>
      <c r="H25" s="8">
        <v>14087.346568226876</v>
      </c>
      <c r="I25" s="9">
        <f t="shared" si="0"/>
        <v>14087.346568226876</v>
      </c>
      <c r="T25" s="110" t="s">
        <v>49</v>
      </c>
      <c r="U25" s="110"/>
      <c r="V25" s="110"/>
      <c r="W25" s="110"/>
      <c r="X25" s="110"/>
      <c r="Y25" s="110"/>
      <c r="Z25" s="110"/>
      <c r="AC25" s="110" t="s">
        <v>49</v>
      </c>
      <c r="AD25" s="110"/>
      <c r="AE25" s="110"/>
      <c r="AF25" s="110"/>
      <c r="AG25" s="110"/>
      <c r="AH25" s="110"/>
      <c r="AI25" s="110"/>
    </row>
    <row r="26" spans="1:35" x14ac:dyDescent="0.25">
      <c r="A26" s="5">
        <v>26</v>
      </c>
      <c r="B26" s="6" t="s">
        <v>47</v>
      </c>
      <c r="C26" s="7">
        <v>0.57735026918962595</v>
      </c>
      <c r="D26" s="6">
        <v>6</v>
      </c>
      <c r="E26" s="6">
        <v>4</v>
      </c>
      <c r="F26" s="6">
        <v>3</v>
      </c>
      <c r="G26" s="6">
        <v>4</v>
      </c>
      <c r="H26" s="8">
        <v>233364.97880644683</v>
      </c>
      <c r="I26" s="9">
        <f t="shared" si="0"/>
        <v>233364.97880644683</v>
      </c>
    </row>
    <row r="27" spans="1:35" ht="18" x14ac:dyDescent="0.25">
      <c r="A27" s="5">
        <v>27</v>
      </c>
      <c r="B27" s="6" t="s">
        <v>48</v>
      </c>
      <c r="C27" s="7">
        <v>1.8257418583505498E-2</v>
      </c>
      <c r="D27" s="6">
        <v>6</v>
      </c>
      <c r="E27" s="6">
        <v>4</v>
      </c>
      <c r="F27" s="6">
        <v>5</v>
      </c>
      <c r="G27" s="6">
        <v>6</v>
      </c>
      <c r="H27" s="8">
        <v>11356.11435894042</v>
      </c>
      <c r="I27" s="9">
        <f t="shared" si="0"/>
        <v>11356.11435894042</v>
      </c>
      <c r="T27" s="11" t="s">
        <v>62</v>
      </c>
    </row>
    <row r="28" spans="1:35" x14ac:dyDescent="0.25">
      <c r="A28" s="5">
        <v>28</v>
      </c>
      <c r="B28" s="6" t="s">
        <v>50</v>
      </c>
      <c r="C28" s="7">
        <v>5.7735026918962602E-2</v>
      </c>
      <c r="D28" s="6">
        <v>5</v>
      </c>
      <c r="E28" s="6">
        <v>3</v>
      </c>
      <c r="F28" s="6">
        <v>3</v>
      </c>
      <c r="G28" s="6">
        <v>3</v>
      </c>
      <c r="H28" s="8">
        <v>2344.04209290988</v>
      </c>
      <c r="I28" s="9">
        <f t="shared" si="0"/>
        <v>2344.0420929098818</v>
      </c>
      <c r="T28" s="112" t="s">
        <v>18</v>
      </c>
      <c r="U28" s="112"/>
      <c r="V28" s="112"/>
      <c r="W28" s="112"/>
      <c r="X28" s="112"/>
      <c r="Y28" s="112"/>
      <c r="Z28" s="112"/>
      <c r="AC28" s="112" t="s">
        <v>20</v>
      </c>
      <c r="AD28" s="112"/>
      <c r="AE28" s="112"/>
      <c r="AF28" s="112"/>
      <c r="AG28" s="112"/>
      <c r="AH28" s="112"/>
      <c r="AI28" s="112"/>
    </row>
    <row r="29" spans="1:35" x14ac:dyDescent="0.25">
      <c r="B29" s="6" t="s">
        <v>60</v>
      </c>
      <c r="C29" s="7">
        <v>5.7735026918962602E-2</v>
      </c>
      <c r="D29" s="6">
        <v>4</v>
      </c>
      <c r="E29" s="6">
        <v>1</v>
      </c>
      <c r="F29" s="6">
        <v>5</v>
      </c>
      <c r="G29" s="6">
        <v>4</v>
      </c>
      <c r="H29" s="8">
        <v>1501.2261699468656</v>
      </c>
      <c r="I29" s="9">
        <f t="shared" si="0"/>
        <v>1501.2261699468656</v>
      </c>
      <c r="R29" s="113" t="s">
        <v>1</v>
      </c>
      <c r="S29" s="48">
        <v>7</v>
      </c>
      <c r="T29" s="49" t="s">
        <v>83</v>
      </c>
      <c r="U29" s="49" t="s">
        <v>83</v>
      </c>
      <c r="V29" s="49" t="s">
        <v>83</v>
      </c>
      <c r="W29" s="49" t="s">
        <v>83</v>
      </c>
      <c r="X29" s="49" t="s">
        <v>83</v>
      </c>
      <c r="Y29" s="49" t="s">
        <v>83</v>
      </c>
      <c r="Z29" s="49" t="s">
        <v>83</v>
      </c>
      <c r="AB29" s="48">
        <v>7</v>
      </c>
      <c r="AC29" s="49" t="s">
        <v>83</v>
      </c>
      <c r="AD29" s="49" t="s">
        <v>83</v>
      </c>
      <c r="AE29" s="49" t="s">
        <v>83</v>
      </c>
      <c r="AF29" s="49" t="s">
        <v>83</v>
      </c>
      <c r="AG29" s="49" t="s">
        <v>83</v>
      </c>
      <c r="AH29" s="49" t="s">
        <v>83</v>
      </c>
      <c r="AI29" s="49" t="s">
        <v>83</v>
      </c>
    </row>
    <row r="30" spans="1:35" x14ac:dyDescent="0.25">
      <c r="R30" s="113"/>
      <c r="S30" s="48">
        <v>6</v>
      </c>
      <c r="T30" s="49" t="s">
        <v>83</v>
      </c>
      <c r="U30" s="49" t="s">
        <v>83</v>
      </c>
      <c r="V30" s="49" t="s">
        <v>83</v>
      </c>
      <c r="W30" s="49" t="s">
        <v>83</v>
      </c>
      <c r="X30" s="49" t="s">
        <v>83</v>
      </c>
      <c r="Y30" s="49" t="s">
        <v>83</v>
      </c>
      <c r="Z30" s="49" t="s">
        <v>83</v>
      </c>
      <c r="AB30" s="48">
        <v>6</v>
      </c>
      <c r="AC30" s="49" t="s">
        <v>83</v>
      </c>
      <c r="AD30" s="49" t="s">
        <v>83</v>
      </c>
      <c r="AE30" s="49" t="s">
        <v>83</v>
      </c>
      <c r="AF30" s="49" t="s">
        <v>83</v>
      </c>
      <c r="AG30" s="49" t="s">
        <v>83</v>
      </c>
      <c r="AH30" s="49" t="s">
        <v>83</v>
      </c>
      <c r="AI30" s="49" t="s">
        <v>83</v>
      </c>
    </row>
    <row r="31" spans="1:35" x14ac:dyDescent="0.25">
      <c r="R31" s="113"/>
      <c r="S31" s="48">
        <v>5</v>
      </c>
      <c r="T31" s="49" t="s">
        <v>83</v>
      </c>
      <c r="U31" s="49" t="s">
        <v>83</v>
      </c>
      <c r="V31" s="49" t="s">
        <v>83</v>
      </c>
      <c r="W31" s="49" t="s">
        <v>83</v>
      </c>
      <c r="X31" s="49" t="s">
        <v>83</v>
      </c>
      <c r="Y31" s="49" t="s">
        <v>83</v>
      </c>
      <c r="Z31" s="49" t="s">
        <v>83</v>
      </c>
      <c r="AB31" s="48">
        <v>5</v>
      </c>
      <c r="AC31" s="49" t="s">
        <v>83</v>
      </c>
      <c r="AD31" s="49" t="s">
        <v>83</v>
      </c>
      <c r="AE31" s="49" t="s">
        <v>83</v>
      </c>
      <c r="AF31" s="49" t="s">
        <v>83</v>
      </c>
      <c r="AG31" s="49" t="s">
        <v>83</v>
      </c>
      <c r="AH31" s="49" t="s">
        <v>83</v>
      </c>
      <c r="AI31" s="49" t="s">
        <v>83</v>
      </c>
    </row>
    <row r="32" spans="1:35" x14ac:dyDescent="0.25">
      <c r="R32" s="113"/>
      <c r="S32" s="48">
        <v>4</v>
      </c>
      <c r="T32" s="49" t="s">
        <v>83</v>
      </c>
      <c r="U32" s="49" t="s">
        <v>83</v>
      </c>
      <c r="V32" s="49" t="s">
        <v>83</v>
      </c>
      <c r="W32" s="49" t="s">
        <v>83</v>
      </c>
      <c r="X32" s="49" t="s">
        <v>83</v>
      </c>
      <c r="Y32" s="49" t="s">
        <v>83</v>
      </c>
      <c r="Z32" s="49" t="s">
        <v>83</v>
      </c>
      <c r="AB32" s="48">
        <v>4</v>
      </c>
      <c r="AC32" s="49" t="s">
        <v>83</v>
      </c>
      <c r="AD32" s="49" t="s">
        <v>83</v>
      </c>
      <c r="AE32" s="49" t="s">
        <v>83</v>
      </c>
      <c r="AF32" s="49" t="s">
        <v>83</v>
      </c>
      <c r="AG32" s="49" t="s">
        <v>83</v>
      </c>
      <c r="AH32" s="49" t="s">
        <v>83</v>
      </c>
      <c r="AI32" s="49" t="s">
        <v>83</v>
      </c>
    </row>
    <row r="33" spans="18:35" x14ac:dyDescent="0.25">
      <c r="R33" s="113"/>
      <c r="S33" s="48">
        <v>3</v>
      </c>
      <c r="T33" s="49" t="s">
        <v>83</v>
      </c>
      <c r="U33" s="49" t="s">
        <v>83</v>
      </c>
      <c r="V33" s="49" t="s">
        <v>83</v>
      </c>
      <c r="W33" s="49" t="s">
        <v>83</v>
      </c>
      <c r="X33" s="49">
        <v>1</v>
      </c>
      <c r="Y33" s="49" t="s">
        <v>83</v>
      </c>
      <c r="Z33" s="49" t="s">
        <v>83</v>
      </c>
      <c r="AB33" s="48">
        <v>3</v>
      </c>
      <c r="AC33" s="49" t="s">
        <v>83</v>
      </c>
      <c r="AD33" s="49" t="s">
        <v>83</v>
      </c>
      <c r="AE33" s="49">
        <v>1</v>
      </c>
      <c r="AF33" s="49" t="s">
        <v>83</v>
      </c>
      <c r="AG33" s="49" t="s">
        <v>83</v>
      </c>
      <c r="AH33" s="49" t="s">
        <v>83</v>
      </c>
      <c r="AI33" s="49" t="s">
        <v>83</v>
      </c>
    </row>
    <row r="34" spans="18:35" x14ac:dyDescent="0.25">
      <c r="R34" s="113"/>
      <c r="S34" s="48">
        <v>2</v>
      </c>
      <c r="T34" s="49" t="s">
        <v>83</v>
      </c>
      <c r="U34" s="49" t="s">
        <v>83</v>
      </c>
      <c r="V34" s="49" t="s">
        <v>83</v>
      </c>
      <c r="W34" s="49" t="s">
        <v>83</v>
      </c>
      <c r="X34" s="49" t="s">
        <v>83</v>
      </c>
      <c r="Y34" s="49" t="s">
        <v>83</v>
      </c>
      <c r="Z34" s="49" t="s">
        <v>83</v>
      </c>
      <c r="AB34" s="48">
        <v>2</v>
      </c>
      <c r="AC34" s="49" t="s">
        <v>83</v>
      </c>
      <c r="AD34" s="49" t="s">
        <v>83</v>
      </c>
      <c r="AE34" s="49" t="s">
        <v>83</v>
      </c>
      <c r="AF34" s="49" t="s">
        <v>83</v>
      </c>
      <c r="AG34" s="49" t="s">
        <v>83</v>
      </c>
      <c r="AH34" s="49" t="s">
        <v>83</v>
      </c>
      <c r="AI34" s="49" t="s">
        <v>83</v>
      </c>
    </row>
    <row r="35" spans="18:35" x14ac:dyDescent="0.25">
      <c r="R35" s="113"/>
      <c r="S35" s="48">
        <v>1</v>
      </c>
      <c r="T35" s="49" t="s">
        <v>83</v>
      </c>
      <c r="U35" s="49" t="s">
        <v>83</v>
      </c>
      <c r="V35" s="49" t="s">
        <v>83</v>
      </c>
      <c r="W35" s="49" t="s">
        <v>83</v>
      </c>
      <c r="X35" s="49" t="s">
        <v>83</v>
      </c>
      <c r="Y35" s="49" t="s">
        <v>83</v>
      </c>
      <c r="Z35" s="49" t="s">
        <v>83</v>
      </c>
      <c r="AB35" s="48">
        <v>1</v>
      </c>
      <c r="AC35" s="49" t="s">
        <v>83</v>
      </c>
      <c r="AD35" s="49" t="s">
        <v>83</v>
      </c>
      <c r="AE35" s="49" t="s">
        <v>83</v>
      </c>
      <c r="AF35" s="49" t="s">
        <v>83</v>
      </c>
      <c r="AG35" s="49" t="s">
        <v>83</v>
      </c>
      <c r="AH35" s="49" t="s">
        <v>83</v>
      </c>
      <c r="AI35" s="49" t="s">
        <v>83</v>
      </c>
    </row>
    <row r="36" spans="18:35" x14ac:dyDescent="0.25">
      <c r="T36" s="50">
        <v>1</v>
      </c>
      <c r="U36" s="50">
        <v>2</v>
      </c>
      <c r="V36" s="50">
        <v>3</v>
      </c>
      <c r="W36" s="50">
        <v>4</v>
      </c>
      <c r="X36" s="50">
        <v>5</v>
      </c>
      <c r="Y36" s="50">
        <v>6</v>
      </c>
      <c r="Z36" s="50">
        <v>7</v>
      </c>
      <c r="AC36" s="50">
        <v>1</v>
      </c>
      <c r="AD36" s="50">
        <v>2</v>
      </c>
      <c r="AE36" s="50">
        <v>3</v>
      </c>
      <c r="AF36" s="50">
        <v>4</v>
      </c>
      <c r="AG36" s="50">
        <v>5</v>
      </c>
      <c r="AH36" s="50">
        <v>6</v>
      </c>
      <c r="AI36" s="50">
        <v>7</v>
      </c>
    </row>
    <row r="37" spans="18:35" x14ac:dyDescent="0.25">
      <c r="T37" s="110" t="s">
        <v>49</v>
      </c>
      <c r="U37" s="110"/>
      <c r="V37" s="110"/>
      <c r="W37" s="110"/>
      <c r="X37" s="110"/>
      <c r="Y37" s="110"/>
      <c r="Z37" s="110"/>
      <c r="AC37" s="110" t="s">
        <v>49</v>
      </c>
      <c r="AD37" s="110"/>
      <c r="AE37" s="110"/>
      <c r="AF37" s="110"/>
      <c r="AG37" s="110"/>
      <c r="AH37" s="110"/>
      <c r="AI37" s="110"/>
    </row>
    <row r="39" spans="18:35" x14ac:dyDescent="0.25">
      <c r="T39" s="112" t="s">
        <v>19</v>
      </c>
      <c r="U39" s="112"/>
      <c r="V39" s="112"/>
      <c r="W39" s="112"/>
      <c r="X39" s="112"/>
      <c r="Y39" s="112"/>
      <c r="Z39" s="112"/>
      <c r="AC39" s="112" t="s">
        <v>52</v>
      </c>
      <c r="AD39" s="112"/>
      <c r="AE39" s="112"/>
      <c r="AF39" s="112"/>
      <c r="AG39" s="112"/>
      <c r="AH39" s="112"/>
      <c r="AI39" s="112"/>
    </row>
    <row r="40" spans="18:35" x14ac:dyDescent="0.25">
      <c r="R40" s="113" t="s">
        <v>1</v>
      </c>
      <c r="S40" s="48">
        <v>7</v>
      </c>
      <c r="T40" s="49" t="s">
        <v>83</v>
      </c>
      <c r="U40" s="49" t="s">
        <v>83</v>
      </c>
      <c r="V40" s="49" t="s">
        <v>83</v>
      </c>
      <c r="W40" s="49" t="s">
        <v>83</v>
      </c>
      <c r="X40" s="49" t="s">
        <v>83</v>
      </c>
      <c r="Y40" s="49" t="s">
        <v>83</v>
      </c>
      <c r="Z40" s="49" t="s">
        <v>83</v>
      </c>
      <c r="AB40" s="48">
        <v>7</v>
      </c>
      <c r="AC40" s="49" t="s">
        <v>83</v>
      </c>
      <c r="AD40" s="49" t="s">
        <v>83</v>
      </c>
      <c r="AE40" s="49" t="s">
        <v>83</v>
      </c>
      <c r="AF40" s="49" t="s">
        <v>83</v>
      </c>
      <c r="AG40" s="49" t="s">
        <v>83</v>
      </c>
      <c r="AH40" s="49" t="s">
        <v>83</v>
      </c>
      <c r="AI40" s="49" t="s">
        <v>83</v>
      </c>
    </row>
    <row r="41" spans="18:35" x14ac:dyDescent="0.25">
      <c r="R41" s="113"/>
      <c r="S41" s="48">
        <v>6</v>
      </c>
      <c r="T41" s="49" t="s">
        <v>83</v>
      </c>
      <c r="U41" s="49" t="s">
        <v>83</v>
      </c>
      <c r="V41" s="49" t="s">
        <v>83</v>
      </c>
      <c r="W41" s="49" t="s">
        <v>83</v>
      </c>
      <c r="X41" s="49" t="s">
        <v>83</v>
      </c>
      <c r="Y41" s="49" t="s">
        <v>83</v>
      </c>
      <c r="Z41" s="49" t="s">
        <v>83</v>
      </c>
      <c r="AB41" s="48">
        <v>6</v>
      </c>
      <c r="AC41" s="49" t="s">
        <v>83</v>
      </c>
      <c r="AD41" s="49" t="s">
        <v>83</v>
      </c>
      <c r="AE41" s="49" t="s">
        <v>83</v>
      </c>
      <c r="AF41" s="49" t="s">
        <v>83</v>
      </c>
      <c r="AG41" s="49" t="s">
        <v>83</v>
      </c>
      <c r="AH41" s="49" t="s">
        <v>83</v>
      </c>
      <c r="AI41" s="49" t="s">
        <v>83</v>
      </c>
    </row>
    <row r="42" spans="18:35" x14ac:dyDescent="0.25">
      <c r="R42" s="113"/>
      <c r="S42" s="48">
        <v>5</v>
      </c>
      <c r="T42" s="49" t="s">
        <v>83</v>
      </c>
      <c r="U42" s="49" t="s">
        <v>83</v>
      </c>
      <c r="V42" s="49" t="s">
        <v>83</v>
      </c>
      <c r="W42" s="49" t="s">
        <v>83</v>
      </c>
      <c r="X42" s="49" t="s">
        <v>83</v>
      </c>
      <c r="Y42" s="49" t="s">
        <v>83</v>
      </c>
      <c r="Z42" s="49" t="s">
        <v>83</v>
      </c>
      <c r="AB42" s="48">
        <v>5</v>
      </c>
      <c r="AC42" s="49" t="s">
        <v>83</v>
      </c>
      <c r="AD42" s="49" t="s">
        <v>83</v>
      </c>
      <c r="AE42" s="49" t="s">
        <v>83</v>
      </c>
      <c r="AF42" s="49" t="s">
        <v>83</v>
      </c>
      <c r="AG42" s="49" t="s">
        <v>83</v>
      </c>
      <c r="AH42" s="49" t="s">
        <v>83</v>
      </c>
      <c r="AI42" s="49" t="s">
        <v>83</v>
      </c>
    </row>
    <row r="43" spans="18:35" x14ac:dyDescent="0.25">
      <c r="R43" s="113"/>
      <c r="S43" s="48">
        <v>4</v>
      </c>
      <c r="T43" s="49" t="s">
        <v>83</v>
      </c>
      <c r="U43" s="49" t="s">
        <v>83</v>
      </c>
      <c r="V43" s="49" t="s">
        <v>83</v>
      </c>
      <c r="W43" s="49" t="s">
        <v>83</v>
      </c>
      <c r="X43" s="49" t="s">
        <v>83</v>
      </c>
      <c r="Y43" s="49" t="s">
        <v>83</v>
      </c>
      <c r="Z43" s="49" t="s">
        <v>83</v>
      </c>
      <c r="AB43" s="48">
        <v>4</v>
      </c>
      <c r="AC43" s="49" t="s">
        <v>83</v>
      </c>
      <c r="AD43" s="49" t="s">
        <v>83</v>
      </c>
      <c r="AE43" s="49" t="s">
        <v>83</v>
      </c>
      <c r="AF43" s="49" t="s">
        <v>83</v>
      </c>
      <c r="AG43" s="49" t="s">
        <v>83</v>
      </c>
      <c r="AH43" s="49" t="s">
        <v>83</v>
      </c>
      <c r="AI43" s="49" t="s">
        <v>83</v>
      </c>
    </row>
    <row r="44" spans="18:35" x14ac:dyDescent="0.25">
      <c r="R44" s="113"/>
      <c r="S44" s="48">
        <v>3</v>
      </c>
      <c r="T44" s="49" t="s">
        <v>83</v>
      </c>
      <c r="U44" s="49" t="s">
        <v>83</v>
      </c>
      <c r="V44" s="49">
        <v>1</v>
      </c>
      <c r="W44" s="49" t="s">
        <v>83</v>
      </c>
      <c r="X44" s="49" t="s">
        <v>83</v>
      </c>
      <c r="Y44" s="49" t="s">
        <v>83</v>
      </c>
      <c r="Z44" s="49" t="s">
        <v>83</v>
      </c>
      <c r="AB44" s="48">
        <v>3</v>
      </c>
      <c r="AC44" s="49" t="s">
        <v>83</v>
      </c>
      <c r="AD44" s="49" t="s">
        <v>83</v>
      </c>
      <c r="AE44" s="49">
        <v>1</v>
      </c>
      <c r="AF44" s="49" t="s">
        <v>83</v>
      </c>
      <c r="AG44" s="49" t="s">
        <v>83</v>
      </c>
      <c r="AH44" s="49" t="s">
        <v>83</v>
      </c>
      <c r="AI44" s="49" t="s">
        <v>83</v>
      </c>
    </row>
    <row r="45" spans="18:35" x14ac:dyDescent="0.25">
      <c r="R45" s="113"/>
      <c r="S45" s="48">
        <v>2</v>
      </c>
      <c r="T45" s="49" t="s">
        <v>83</v>
      </c>
      <c r="U45" s="49" t="s">
        <v>83</v>
      </c>
      <c r="V45" s="49" t="s">
        <v>83</v>
      </c>
      <c r="W45" s="49" t="s">
        <v>83</v>
      </c>
      <c r="X45" s="49" t="s">
        <v>83</v>
      </c>
      <c r="Y45" s="49" t="s">
        <v>83</v>
      </c>
      <c r="Z45" s="49" t="s">
        <v>83</v>
      </c>
      <c r="AB45" s="48">
        <v>2</v>
      </c>
      <c r="AC45" s="49" t="s">
        <v>83</v>
      </c>
      <c r="AD45" s="49" t="s">
        <v>83</v>
      </c>
      <c r="AE45" s="49" t="s">
        <v>83</v>
      </c>
      <c r="AF45" s="49" t="s">
        <v>83</v>
      </c>
      <c r="AG45" s="49" t="s">
        <v>83</v>
      </c>
      <c r="AH45" s="49" t="s">
        <v>83</v>
      </c>
      <c r="AI45" s="49" t="s">
        <v>83</v>
      </c>
    </row>
    <row r="46" spans="18:35" x14ac:dyDescent="0.25">
      <c r="R46" s="113"/>
      <c r="S46" s="48">
        <v>1</v>
      </c>
      <c r="T46" s="49" t="s">
        <v>83</v>
      </c>
      <c r="U46" s="49" t="s">
        <v>83</v>
      </c>
      <c r="V46" s="49" t="s">
        <v>83</v>
      </c>
      <c r="W46" s="49" t="s">
        <v>83</v>
      </c>
      <c r="X46" s="49" t="s">
        <v>83</v>
      </c>
      <c r="Y46" s="49" t="s">
        <v>83</v>
      </c>
      <c r="Z46" s="49" t="s">
        <v>83</v>
      </c>
      <c r="AB46" s="48">
        <v>1</v>
      </c>
      <c r="AC46" s="49" t="s">
        <v>83</v>
      </c>
      <c r="AD46" s="49" t="s">
        <v>83</v>
      </c>
      <c r="AE46" s="49" t="s">
        <v>83</v>
      </c>
      <c r="AF46" s="49" t="s">
        <v>83</v>
      </c>
      <c r="AG46" s="49" t="s">
        <v>83</v>
      </c>
      <c r="AH46" s="49" t="s">
        <v>83</v>
      </c>
      <c r="AI46" s="49" t="s">
        <v>83</v>
      </c>
    </row>
    <row r="47" spans="18:35" x14ac:dyDescent="0.25">
      <c r="T47" s="50">
        <v>1</v>
      </c>
      <c r="U47" s="50">
        <v>2</v>
      </c>
      <c r="V47" s="50">
        <v>3</v>
      </c>
      <c r="W47" s="50">
        <v>4</v>
      </c>
      <c r="X47" s="50">
        <v>5</v>
      </c>
      <c r="Y47" s="50">
        <v>6</v>
      </c>
      <c r="Z47" s="50">
        <v>7</v>
      </c>
      <c r="AC47" s="50">
        <v>1</v>
      </c>
      <c r="AD47" s="50">
        <v>2</v>
      </c>
      <c r="AE47" s="50">
        <v>3</v>
      </c>
      <c r="AF47" s="50">
        <v>4</v>
      </c>
      <c r="AG47" s="50">
        <v>5</v>
      </c>
      <c r="AH47" s="50">
        <v>6</v>
      </c>
      <c r="AI47" s="50">
        <v>7</v>
      </c>
    </row>
    <row r="48" spans="18:35" x14ac:dyDescent="0.25">
      <c r="T48" s="110" t="s">
        <v>49</v>
      </c>
      <c r="U48" s="110"/>
      <c r="V48" s="110"/>
      <c r="W48" s="110"/>
      <c r="X48" s="110"/>
      <c r="Y48" s="110"/>
      <c r="Z48" s="110"/>
      <c r="AC48" s="110" t="s">
        <v>49</v>
      </c>
      <c r="AD48" s="110"/>
      <c r="AE48" s="110"/>
      <c r="AF48" s="110"/>
      <c r="AG48" s="110"/>
      <c r="AH48" s="110"/>
      <c r="AI48" s="110"/>
    </row>
  </sheetData>
  <sheetProtection algorithmName="SHA-512" hashValue="A51sFF8zqcen7FYkgGw0NMqx8iwxbbt3cJIPspFRuPkGdfyzNKEKU+XY2w5McfjVRDg0gsM91Z4FWxi2zx8Sjg==" saltValue="OvKRuWTwdRahUUPlowKuOg==" spinCount="100000" sheet="1" objects="1" scenarios="1"/>
  <sortState ref="A2:I28">
    <sortCondition ref="A2"/>
  </sortState>
  <mergeCells count="23">
    <mergeCell ref="R40:R46"/>
    <mergeCell ref="T48:Z48"/>
    <mergeCell ref="AC48:AI48"/>
    <mergeCell ref="T28:Z28"/>
    <mergeCell ref="AC28:AI28"/>
    <mergeCell ref="R29:R35"/>
    <mergeCell ref="T37:Z37"/>
    <mergeCell ref="AC37:AI37"/>
    <mergeCell ref="T39:Z39"/>
    <mergeCell ref="AC39:AI39"/>
    <mergeCell ref="T25:Z25"/>
    <mergeCell ref="AC25:AI25"/>
    <mergeCell ref="K1:L1"/>
    <mergeCell ref="O1:P1"/>
    <mergeCell ref="T5:Z5"/>
    <mergeCell ref="AC5:AI5"/>
    <mergeCell ref="R6:R12"/>
    <mergeCell ref="K10:L10"/>
    <mergeCell ref="T14:Z14"/>
    <mergeCell ref="AC14:AI14"/>
    <mergeCell ref="T16:Z16"/>
    <mergeCell ref="AC16:AI16"/>
    <mergeCell ref="R17:R23"/>
  </mergeCells>
  <conditionalFormatting sqref="T17:Z23">
    <cfRule type="iconSet" priority="7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6:AI12">
    <cfRule type="iconSet" priority="8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17:AI23">
    <cfRule type="iconSet" priority="6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29:Z35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29:AI35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40:Z46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40:AI46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6:Z1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30"/>
  <sheetViews>
    <sheetView workbookViewId="0">
      <selection activeCell="B5" sqref="B5"/>
    </sheetView>
  </sheetViews>
  <sheetFormatPr defaultRowHeight="15" x14ac:dyDescent="0.25"/>
  <cols>
    <col min="1" max="1" width="59.140625" customWidth="1"/>
    <col min="2" max="2" width="16.42578125" customWidth="1"/>
    <col min="3" max="3" width="37.85546875" customWidth="1"/>
    <col min="4" max="4" width="18.140625" customWidth="1"/>
    <col min="6" max="6" width="23.28515625" bestFit="1" customWidth="1"/>
  </cols>
  <sheetData>
    <row r="1" spans="1:7" x14ac:dyDescent="0.25">
      <c r="A1" t="s">
        <v>156</v>
      </c>
    </row>
    <row r="2" spans="1:7" ht="33.6" customHeight="1" x14ac:dyDescent="0.25">
      <c r="A2" s="19" t="s">
        <v>115</v>
      </c>
      <c r="B2" s="20">
        <f>FactorAEstimate</f>
        <v>14971</v>
      </c>
      <c r="C2" s="21" t="s">
        <v>116</v>
      </c>
    </row>
    <row r="3" spans="1:7" ht="33.6" customHeight="1" x14ac:dyDescent="0.25">
      <c r="A3" s="19" t="s">
        <v>117</v>
      </c>
      <c r="B3" s="22">
        <f>B2*'Factor B Estimates'!B15</f>
        <v>4.7051714285714281</v>
      </c>
      <c r="C3" s="21" t="s">
        <v>118</v>
      </c>
      <c r="D3" s="23">
        <f>'Factor B Estimates'!B15</f>
        <v>3.1428571428571427E-4</v>
      </c>
      <c r="F3" t="s">
        <v>147</v>
      </c>
    </row>
    <row r="4" spans="1:7" ht="33.6" customHeight="1" x14ac:dyDescent="0.25">
      <c r="A4" s="19" t="str">
        <f>"(C)"</f>
        <v>(C)</v>
      </c>
      <c r="B4" s="29">
        <f>B3*'Factor C Estimates'!B1</f>
        <v>3.5866903567846392E-3</v>
      </c>
      <c r="C4" s="114" t="s">
        <v>154</v>
      </c>
      <c r="D4" s="24">
        <f>'Factor C Estimates'!B1</f>
        <v>7.6228686058174523E-4</v>
      </c>
      <c r="F4">
        <f>B4/B28</f>
        <v>0.34492698448429415</v>
      </c>
      <c r="G4" t="s">
        <v>172</v>
      </c>
    </row>
    <row r="5" spans="1:7" x14ac:dyDescent="0.25">
      <c r="B5" s="1">
        <f>1/B4</f>
        <v>278.8085673769927</v>
      </c>
      <c r="C5" s="114"/>
    </row>
    <row r="6" spans="1:7" x14ac:dyDescent="0.25">
      <c r="F6" t="s">
        <v>178</v>
      </c>
      <c r="G6" s="33">
        <v>0.4</v>
      </c>
    </row>
    <row r="8" spans="1:7" x14ac:dyDescent="0.25">
      <c r="C8" s="25">
        <f>B4</f>
        <v>3.5866903567846392E-3</v>
      </c>
    </row>
    <row r="9" spans="1:7" x14ac:dyDescent="0.25">
      <c r="A9" t="s">
        <v>157</v>
      </c>
    </row>
    <row r="10" spans="1:7" ht="23.25" x14ac:dyDescent="0.25">
      <c r="A10" s="19" t="s">
        <v>115</v>
      </c>
      <c r="B10" s="20">
        <v>1900</v>
      </c>
      <c r="C10" s="21" t="s">
        <v>152</v>
      </c>
    </row>
    <row r="11" spans="1:7" ht="60" x14ac:dyDescent="0.25">
      <c r="A11" s="19" t="s">
        <v>117</v>
      </c>
      <c r="B11" s="32">
        <f>B10*D11</f>
        <v>67.857142857142861</v>
      </c>
      <c r="C11" s="21" t="s">
        <v>153</v>
      </c>
      <c r="D11" s="41">
        <f>500*100000/1400000*0.001</f>
        <v>3.5714285714285719E-2</v>
      </c>
      <c r="F11" t="s">
        <v>148</v>
      </c>
    </row>
    <row r="12" spans="1:7" ht="23.25" x14ac:dyDescent="0.25">
      <c r="A12" s="19" t="str">
        <f>"(C)"</f>
        <v>(C)</v>
      </c>
      <c r="B12" s="29">
        <f>B11*D12</f>
        <v>6.7857142857142864E-3</v>
      </c>
      <c r="C12" s="114" t="s">
        <v>155</v>
      </c>
      <c r="D12" s="24">
        <v>1E-4</v>
      </c>
      <c r="F12">
        <f>B12/B28</f>
        <v>0.65257263195746884</v>
      </c>
      <c r="G12" t="s">
        <v>173</v>
      </c>
    </row>
    <row r="13" spans="1:7" x14ac:dyDescent="0.25">
      <c r="B13" s="1">
        <f>1/B12</f>
        <v>147.36842105263156</v>
      </c>
      <c r="C13" s="114"/>
    </row>
    <row r="18" spans="1:14" x14ac:dyDescent="0.25">
      <c r="A18" t="s">
        <v>158</v>
      </c>
    </row>
    <row r="19" spans="1:14" ht="23.25" x14ac:dyDescent="0.25">
      <c r="A19" s="19" t="s">
        <v>115</v>
      </c>
      <c r="B19" s="20">
        <v>260</v>
      </c>
      <c r="C19" s="21" t="s">
        <v>152</v>
      </c>
      <c r="E19" t="s">
        <v>160</v>
      </c>
    </row>
    <row r="20" spans="1:14" ht="45" x14ac:dyDescent="0.25">
      <c r="A20" s="19" t="s">
        <v>117</v>
      </c>
      <c r="B20" s="31">
        <f>B19*D20</f>
        <v>0.26</v>
      </c>
      <c r="C20" s="21" t="s">
        <v>165</v>
      </c>
      <c r="D20" s="34">
        <v>1E-3</v>
      </c>
      <c r="E20" s="33">
        <v>0.1</v>
      </c>
      <c r="F20" t="s">
        <v>159</v>
      </c>
      <c r="N20">
        <v>289</v>
      </c>
    </row>
    <row r="21" spans="1:14" ht="23.25" x14ac:dyDescent="0.25">
      <c r="A21" s="19" t="str">
        <f>"(C)"</f>
        <v>(C)</v>
      </c>
      <c r="B21" s="37">
        <f>B20*D21</f>
        <v>2.6000000000000002E-5</v>
      </c>
      <c r="C21" s="114" t="s">
        <v>155</v>
      </c>
      <c r="D21" s="24">
        <v>1E-4</v>
      </c>
      <c r="F21">
        <f>B21/SUM(B21,B12,B4)</f>
        <v>2.5003835582370383E-3</v>
      </c>
      <c r="G21" t="s">
        <v>174</v>
      </c>
      <c r="N21">
        <v>258</v>
      </c>
    </row>
    <row r="22" spans="1:14" x14ac:dyDescent="0.25">
      <c r="B22" s="1">
        <f>1/B21</f>
        <v>38461.538461538461</v>
      </c>
      <c r="C22" s="114"/>
      <c r="N22">
        <v>267</v>
      </c>
    </row>
    <row r="23" spans="1:14" x14ac:dyDescent="0.25">
      <c r="N23">
        <v>262</v>
      </c>
    </row>
    <row r="24" spans="1:14" x14ac:dyDescent="0.25">
      <c r="B24" s="1">
        <f>99*B21</f>
        <v>2.5740000000000003E-3</v>
      </c>
      <c r="N24">
        <v>260</v>
      </c>
    </row>
    <row r="25" spans="1:14" x14ac:dyDescent="0.25">
      <c r="B25" s="40">
        <f>B24+B21</f>
        <v>2.6000000000000003E-3</v>
      </c>
      <c r="N25">
        <v>328</v>
      </c>
    </row>
    <row r="26" spans="1:14" x14ac:dyDescent="0.25">
      <c r="N26">
        <v>320</v>
      </c>
    </row>
    <row r="27" spans="1:14" x14ac:dyDescent="0.25">
      <c r="B27" t="s">
        <v>146</v>
      </c>
      <c r="N27">
        <v>207</v>
      </c>
    </row>
    <row r="28" spans="1:14" x14ac:dyDescent="0.25">
      <c r="B28" s="30">
        <f>SUM(B12,B4,B21)</f>
        <v>1.0398404642498926E-2</v>
      </c>
      <c r="N28">
        <v>204</v>
      </c>
    </row>
    <row r="29" spans="1:14" x14ac:dyDescent="0.25">
      <c r="N29">
        <v>233</v>
      </c>
    </row>
    <row r="30" spans="1:14" x14ac:dyDescent="0.25">
      <c r="N30">
        <v>230</v>
      </c>
    </row>
  </sheetData>
  <sheetProtection algorithmName="SHA-512" hashValue="XHgCl/Ee6SB6Azu7yZw4iNVvNJn/OMw66NOOa/s6vN49GdKdFEEDLzw29NVyXQL71/ZSPA8W/+Pps4it6pFzxA==" saltValue="g2/itOaUVrFLU2Gz/Oe0ng==" spinCount="100000" sheet="1" objects="1" scenarios="1"/>
  <mergeCells count="3">
    <mergeCell ref="C4:C5"/>
    <mergeCell ref="C12:C13"/>
    <mergeCell ref="C21:C22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B5"/>
  <sheetViews>
    <sheetView workbookViewId="0"/>
  </sheetViews>
  <sheetFormatPr defaultRowHeight="15" x14ac:dyDescent="0.25"/>
  <cols>
    <col min="1" max="1" width="23.85546875" bestFit="1" customWidth="1"/>
    <col min="2" max="2" width="12.5703125" bestFit="1" customWidth="1"/>
  </cols>
  <sheetData>
    <row r="2" spans="1:2" x14ac:dyDescent="0.25">
      <c r="A2" t="s">
        <v>119</v>
      </c>
      <c r="B2" s="26">
        <v>5639</v>
      </c>
    </row>
    <row r="3" spans="1:2" x14ac:dyDescent="0.25">
      <c r="A3" t="s">
        <v>120</v>
      </c>
      <c r="B3" s="26">
        <v>1356000</v>
      </c>
    </row>
    <row r="4" spans="1:2" x14ac:dyDescent="0.25">
      <c r="A4" t="s">
        <v>121</v>
      </c>
      <c r="B4" s="26">
        <v>3600000</v>
      </c>
    </row>
    <row r="5" spans="1:2" x14ac:dyDescent="0.25">
      <c r="A5" t="s">
        <v>122</v>
      </c>
      <c r="B5" s="27">
        <f>ROUND(B4/B3*B2,0)</f>
        <v>14971</v>
      </c>
    </row>
  </sheetData>
  <sheetProtection algorithmName="SHA-512" hashValue="0YRa8xXgDtM3x+BJQ/jYIBRN9Z0S/U3XCuzDUtthrbKRSslZAumitE7/QPkXaLoRQmu7QuhHHORPgxklydS7Fw==" saltValue="P+Zgm+BYRbfmsQYjfhsqQg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15"/>
  <sheetViews>
    <sheetView workbookViewId="0">
      <selection activeCell="B12" sqref="B12"/>
    </sheetView>
  </sheetViews>
  <sheetFormatPr defaultRowHeight="15" x14ac:dyDescent="0.25"/>
  <cols>
    <col min="1" max="1" width="21.5703125" bestFit="1" customWidth="1"/>
    <col min="3" max="3" width="10.140625" customWidth="1"/>
    <col min="6" max="13" width="6.140625" customWidth="1"/>
  </cols>
  <sheetData>
    <row r="1" spans="1:6" x14ac:dyDescent="0.25">
      <c r="A1" t="s">
        <v>123</v>
      </c>
      <c r="B1">
        <v>80</v>
      </c>
    </row>
    <row r="3" spans="1:6" ht="30" x14ac:dyDescent="0.25">
      <c r="B3" t="s">
        <v>124</v>
      </c>
      <c r="C3" s="3" t="s">
        <v>125</v>
      </c>
      <c r="E3" t="s">
        <v>126</v>
      </c>
    </row>
    <row r="4" spans="1:6" x14ac:dyDescent="0.25">
      <c r="A4" t="s">
        <v>127</v>
      </c>
      <c r="B4" s="28">
        <v>0.25</v>
      </c>
      <c r="C4">
        <v>4</v>
      </c>
      <c r="E4">
        <v>1</v>
      </c>
      <c r="F4">
        <f>SUMIFS($B$4:$B$8,$C$4:$C$8,"&gt;="&amp;E4)*$B$1</f>
        <v>80</v>
      </c>
    </row>
    <row r="5" spans="1:6" x14ac:dyDescent="0.25">
      <c r="A5" t="s">
        <v>128</v>
      </c>
      <c r="B5" s="28">
        <v>0.25</v>
      </c>
      <c r="C5">
        <v>5</v>
      </c>
      <c r="E5">
        <v>2</v>
      </c>
      <c r="F5">
        <f t="shared" ref="F5:F13" si="0">SUMIFS($B$4:$B$8,$C$4:$C$8,"&gt;="&amp;E5)*$B$1</f>
        <v>80</v>
      </c>
    </row>
    <row r="6" spans="1:6" x14ac:dyDescent="0.25">
      <c r="A6" t="s">
        <v>129</v>
      </c>
      <c r="B6" s="28">
        <v>0.25</v>
      </c>
      <c r="C6">
        <v>6</v>
      </c>
      <c r="E6">
        <v>3</v>
      </c>
      <c r="F6">
        <f t="shared" si="0"/>
        <v>80</v>
      </c>
    </row>
    <row r="7" spans="1:6" x14ac:dyDescent="0.25">
      <c r="A7" t="s">
        <v>130</v>
      </c>
      <c r="B7" s="28">
        <v>0.25</v>
      </c>
      <c r="C7">
        <v>7</v>
      </c>
      <c r="E7">
        <v>4</v>
      </c>
      <c r="F7">
        <f t="shared" si="0"/>
        <v>80</v>
      </c>
    </row>
    <row r="8" spans="1:6" x14ac:dyDescent="0.25">
      <c r="A8" t="s">
        <v>131</v>
      </c>
      <c r="B8" s="28">
        <v>0</v>
      </c>
      <c r="C8">
        <v>8</v>
      </c>
      <c r="E8">
        <v>5</v>
      </c>
      <c r="F8">
        <f t="shared" si="0"/>
        <v>60</v>
      </c>
    </row>
    <row r="9" spans="1:6" x14ac:dyDescent="0.25">
      <c r="E9">
        <v>6</v>
      </c>
      <c r="F9">
        <f t="shared" si="0"/>
        <v>40</v>
      </c>
    </row>
    <row r="10" spans="1:6" x14ac:dyDescent="0.25">
      <c r="E10">
        <v>7</v>
      </c>
      <c r="F10">
        <f t="shared" si="0"/>
        <v>20</v>
      </c>
    </row>
    <row r="11" spans="1:6" x14ac:dyDescent="0.25">
      <c r="A11" t="s">
        <v>132</v>
      </c>
      <c r="B11">
        <f>SUM(F4:F13)</f>
        <v>440</v>
      </c>
      <c r="E11">
        <v>8</v>
      </c>
      <c r="F11">
        <f t="shared" si="0"/>
        <v>0</v>
      </c>
    </row>
    <row r="12" spans="1:6" x14ac:dyDescent="0.25">
      <c r="A12" t="s">
        <v>133</v>
      </c>
      <c r="B12">
        <v>1400000</v>
      </c>
      <c r="E12">
        <v>9</v>
      </c>
      <c r="F12">
        <f t="shared" si="0"/>
        <v>0</v>
      </c>
    </row>
    <row r="13" spans="1:6" x14ac:dyDescent="0.25">
      <c r="E13">
        <v>10</v>
      </c>
      <c r="F13">
        <f t="shared" si="0"/>
        <v>0</v>
      </c>
    </row>
    <row r="15" spans="1:6" x14ac:dyDescent="0.25">
      <c r="A15" t="s">
        <v>134</v>
      </c>
      <c r="B15">
        <f>B11/B12</f>
        <v>3.1428571428571427E-4</v>
      </c>
    </row>
  </sheetData>
  <sheetProtection algorithmName="SHA-512" hashValue="V7y3NVd/pBr2aVXsuxAdtTv/Pc0PVPtOA24kKJ1kZkl4Xl9I5xdveGLt4xbNXuudVSPPSE+hdfJ86eMruxNYXg==" saltValue="4seGcYCXOe9Zjh0ACWAuYA==" spinCount="100000"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10"/>
  <sheetViews>
    <sheetView workbookViewId="0"/>
  </sheetViews>
  <sheetFormatPr defaultRowHeight="15" x14ac:dyDescent="0.25"/>
  <cols>
    <col min="1" max="1" width="9.140625" style="5"/>
    <col min="2" max="2" width="15" style="5" bestFit="1" customWidth="1"/>
    <col min="3" max="16384" width="9.140625" style="5"/>
  </cols>
  <sheetData>
    <row r="1" spans="1:22" x14ac:dyDescent="0.25">
      <c r="A1" s="5" t="s">
        <v>135</v>
      </c>
      <c r="B1" s="51">
        <f>B8</f>
        <v>7.6228686058174523E-4</v>
      </c>
      <c r="C1" s="5" t="s">
        <v>136</v>
      </c>
    </row>
    <row r="4" spans="1:22" x14ac:dyDescent="0.25">
      <c r="B4" s="5">
        <v>190</v>
      </c>
      <c r="C4" s="5" t="s">
        <v>137</v>
      </c>
    </row>
    <row r="5" spans="1:22" x14ac:dyDescent="0.25">
      <c r="B5" s="5">
        <v>498500</v>
      </c>
      <c r="C5" s="5" t="s">
        <v>138</v>
      </c>
    </row>
    <row r="6" spans="1:22" x14ac:dyDescent="0.25">
      <c r="B6" s="52">
        <f>B4/B5</f>
        <v>3.8114343029087261E-4</v>
      </c>
      <c r="C6" s="5" t="s">
        <v>139</v>
      </c>
    </row>
    <row r="7" spans="1:22" x14ac:dyDescent="0.25">
      <c r="B7" s="5">
        <v>2</v>
      </c>
      <c r="C7" s="5" t="s">
        <v>140</v>
      </c>
    </row>
    <row r="8" spans="1:22" x14ac:dyDescent="0.25">
      <c r="B8" s="52">
        <f>B6*B7</f>
        <v>7.6228686058174523E-4</v>
      </c>
      <c r="C8" s="5" t="s">
        <v>141</v>
      </c>
      <c r="N8" s="53">
        <f>B7</f>
        <v>2</v>
      </c>
      <c r="O8" s="5" t="s">
        <v>142</v>
      </c>
    </row>
    <row r="10" spans="1:22" x14ac:dyDescent="0.25">
      <c r="C10" s="5" t="s">
        <v>143</v>
      </c>
      <c r="F10" s="53">
        <f>B7</f>
        <v>2</v>
      </c>
      <c r="G10" s="5" t="s">
        <v>144</v>
      </c>
      <c r="V10" s="51">
        <f>B8</f>
        <v>7.6228686058174523E-4</v>
      </c>
    </row>
  </sheetData>
  <sheetProtection algorithmName="SHA-512" hashValue="r3pWrDxNaYIDPx5ng1DIo06wXfazNzj3qghv/NRqucPeAoqhXMq+X3j/pkk2Evbf9fwVLCaufcaJsjq6Re3mnw==" saltValue="uABP8fiHCW8zbA+krCaoo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5F11FE97CC0B4B99B15CE895FECCD9" ma:contentTypeVersion="4" ma:contentTypeDescription="Create a new document." ma:contentTypeScope="" ma:versionID="7eaf3ad2d668de3d38106c004da69f2b">
  <xsd:schema xmlns:xsd="http://www.w3.org/2001/XMLSchema" xmlns:xs="http://www.w3.org/2001/XMLSchema" xmlns:p="http://schemas.microsoft.com/office/2006/metadata/properties" xmlns:ns2="c9707976-b9a4-4d64-b46b-225405a11850" targetNamespace="http://schemas.microsoft.com/office/2006/metadata/properties" ma:root="true" ma:fieldsID="86f2cd098e59bbfb00d67e1ebecfae36" ns2:_="">
    <xsd:import namespace="c9707976-b9a4-4d64-b46b-225405a1185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07976-b9a4-4d64-b46b-225405a118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9F783A-1356-4FF6-B3EF-0192B37273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707976-b9a4-4d64-b46b-225405a118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AA7C4A-0892-43CF-B381-54000A6BF7BA}">
  <ds:schemaRefs>
    <ds:schemaRef ds:uri="http://www.w3.org/XML/1998/namespace"/>
    <ds:schemaRef ds:uri="http://schemas.microsoft.com/office/2006/metadata/properties"/>
    <ds:schemaRef ds:uri="c9707976-b9a4-4d64-b46b-225405a11850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1476C28-0052-40F2-9916-49C39557E9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Cover Page</vt:lpstr>
      <vt:lpstr>Analysis</vt:lpstr>
      <vt:lpstr>Mitigations</vt:lpstr>
      <vt:lpstr>Analyis_Old</vt:lpstr>
      <vt:lpstr>Reference</vt:lpstr>
      <vt:lpstr>Methodology</vt:lpstr>
      <vt:lpstr>Factor A Estimates</vt:lpstr>
      <vt:lpstr>Factor B Estimates</vt:lpstr>
      <vt:lpstr>Factor C Estimates</vt:lpstr>
      <vt:lpstr>contIE</vt:lpstr>
      <vt:lpstr>contOL</vt:lpstr>
      <vt:lpstr>contSF</vt:lpstr>
      <vt:lpstr>FactorAEstimate</vt:lpstr>
      <vt:lpstr>'Cover Page'!Print_Area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Almujahed</dc:creator>
  <cp:lastModifiedBy>York, Jamie K</cp:lastModifiedBy>
  <cp:lastPrinted>2015-11-16T23:20:18Z</cp:lastPrinted>
  <dcterms:created xsi:type="dcterms:W3CDTF">2015-11-11T19:37:07Z</dcterms:created>
  <dcterms:modified xsi:type="dcterms:W3CDTF">2017-01-11T22:02:35Z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0x010100995F11FE97CC0B4B99B15CE895FECCD9</vt:lpwstr>
  </property>
</Properties>
</file>